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Siddal\OneDrive - Matthew Clark\Desktop\Compressed\"/>
    </mc:Choice>
  </mc:AlternateContent>
  <workbookProtection workbookAlgorithmName="SHA-512" workbookHashValue="6J4H9pPKYFHnROLSG+RDf8dwjCQQGH8UwFiWSbXfXsmZWzFnqlGxKViafgP8jykl5hmyVQd22zsPv6E342odzg==" workbookSaltValue="JuRxchKNcLpTdyyGndnzkw==" workbookSpinCount="100000" lockStructure="1"/>
  <bookViews>
    <workbookView xWindow="0" yWindow="0" windowWidth="23040" windowHeight="8535" tabRatio="881"/>
  </bookViews>
  <sheets>
    <sheet name="Range Check" sheetId="1" r:id="rId1"/>
    <sheet name="Range Recommendation" sheetId="15" r:id="rId2"/>
    <sheet name="Product Overview" sheetId="28" r:id="rId3"/>
    <sheet name="Input Processing" sheetId="3" state="hidden" r:id="rId4"/>
    <sheet name="Lookup Table (Text to be added)" sheetId="9" state="hidden" r:id="rId5"/>
    <sheet name="Product Reference" sheetId="2" state="hidden" r:id="rId6"/>
    <sheet name="Recommendations" sheetId="8" state="hidden" r:id="rId7"/>
    <sheet name="Mainstream Wet-Led" sheetId="4" state="hidden" r:id="rId8"/>
    <sheet name="Premium Wet-Led" sheetId="17" state="hidden" r:id="rId9"/>
    <sheet name="PFL Flexible Range Calculation" sheetId="26" state="hidden" r:id="rId10"/>
    <sheet name="MWL Flexible Range Calculation" sheetId="16" state="hidden" r:id="rId11"/>
    <sheet name="PWL Flexible Range Calculation" sheetId="18" state="hidden" r:id="rId12"/>
    <sheet name="Mainstream Food-Led" sheetId="23" state="hidden" r:id="rId13"/>
    <sheet name="Premium Food-Led" sheetId="25" state="hidden" r:id="rId14"/>
    <sheet name="MFL Flexible Range Calculation" sheetId="24" state="hidden" r:id="rId15"/>
  </sheets>
  <definedNames>
    <definedName name="_xlnm._FilterDatabase" localSheetId="5" hidden="1">'Product Reference'!$A$1:$G$136</definedName>
    <definedName name="_xlnm._FilterDatabase" localSheetId="6" hidden="1">Recommendations!$A$1:$C$103</definedName>
    <definedName name="_xlnm.Print_Area" localSheetId="2">'Product Overview'!$A$1:$K$50</definedName>
    <definedName name="_xlnm.Print_Area" localSheetId="1">'Range Recommendation'!$A$1:$K$50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L10" i="1"/>
  <c r="L11" i="1"/>
  <c r="L12" i="1"/>
  <c r="L13" i="1"/>
  <c r="L14" i="1"/>
  <c r="L15" i="1"/>
  <c r="L16" i="1"/>
  <c r="L17" i="1"/>
  <c r="L18" i="1"/>
  <c r="L19" i="1"/>
  <c r="L20" i="1"/>
  <c r="L21" i="1"/>
  <c r="L22" i="1"/>
  <c r="L23" i="1"/>
  <c r="L24" i="1"/>
  <c r="L25" i="1"/>
  <c r="L26" i="1"/>
  <c r="L27" i="1"/>
  <c r="L28" i="1" l="1"/>
  <c r="L29" i="1" l="1"/>
  <c r="L30" i="1"/>
  <c r="L31" i="1"/>
  <c r="L32" i="1"/>
  <c r="L33" i="1"/>
  <c r="L34" i="1"/>
  <c r="L35" i="1"/>
  <c r="L36" i="1" l="1"/>
  <c r="L37" i="1"/>
  <c r="O5" i="24"/>
  <c r="O11" i="24" s="1"/>
  <c r="O5" i="16"/>
  <c r="O5" i="18"/>
  <c r="O5" i="26"/>
  <c r="O11" i="26" s="1"/>
  <c r="E21" i="2"/>
  <c r="E14" i="2"/>
  <c r="E116" i="2"/>
  <c r="E92" i="2"/>
  <c r="E91" i="2"/>
  <c r="E73" i="2"/>
  <c r="E72" i="2"/>
  <c r="E71" i="2"/>
  <c r="E57" i="2"/>
  <c r="E40" i="2"/>
  <c r="E35" i="2"/>
  <c r="E22" i="2"/>
  <c r="E117" i="2"/>
  <c r="P15" i="24" l="1"/>
  <c r="T15" i="24"/>
  <c r="P16" i="24"/>
  <c r="T16" i="24"/>
  <c r="T14" i="24"/>
  <c r="T16" i="26"/>
  <c r="P14" i="26"/>
  <c r="T14" i="26"/>
  <c r="P16" i="26"/>
  <c r="P15" i="26"/>
  <c r="T15" i="26"/>
  <c r="P14" i="24"/>
  <c r="O11" i="18"/>
  <c r="O11" i="16"/>
  <c r="O14" i="26" l="1"/>
  <c r="O14" i="24"/>
  <c r="O15" i="24"/>
  <c r="O16" i="24"/>
  <c r="O16" i="26"/>
  <c r="O15" i="26"/>
  <c r="T15" i="16"/>
  <c r="T14" i="16"/>
  <c r="T16" i="16"/>
  <c r="P14" i="16"/>
  <c r="P15" i="16"/>
  <c r="T14" i="18"/>
  <c r="P15" i="18"/>
  <c r="T16" i="18"/>
  <c r="T15" i="18"/>
  <c r="P16" i="18"/>
  <c r="P14" i="18"/>
  <c r="T24" i="16"/>
  <c r="T21" i="16"/>
  <c r="P16" i="16"/>
  <c r="T21" i="18"/>
  <c r="T24" i="26"/>
  <c r="T21" i="26"/>
  <c r="T24" i="24"/>
  <c r="T19" i="24"/>
  <c r="S19" i="26"/>
  <c r="S21" i="26"/>
  <c r="S23" i="26"/>
  <c r="T19" i="26"/>
  <c r="T23" i="26"/>
  <c r="S20" i="26"/>
  <c r="S22" i="26"/>
  <c r="S24" i="26"/>
  <c r="T20" i="26"/>
  <c r="T22" i="26"/>
  <c r="V23" i="26"/>
  <c r="D6" i="26"/>
  <c r="D6" i="25" s="1"/>
  <c r="B5" i="9" s="1"/>
  <c r="S20" i="24"/>
  <c r="T23" i="24"/>
  <c r="S22" i="24"/>
  <c r="S24" i="24"/>
  <c r="S19" i="24"/>
  <c r="S21" i="24"/>
  <c r="S23" i="24"/>
  <c r="T21" i="24"/>
  <c r="T20" i="24"/>
  <c r="T22" i="24"/>
  <c r="V23" i="24"/>
  <c r="D6" i="24"/>
  <c r="D6" i="23" s="1"/>
  <c r="B3" i="9" s="1"/>
  <c r="T24" i="18"/>
  <c r="T22" i="18"/>
  <c r="T20" i="18"/>
  <c r="T19" i="18"/>
  <c r="S23" i="18"/>
  <c r="S19" i="18"/>
  <c r="S24" i="18"/>
  <c r="S22" i="18"/>
  <c r="S20" i="18"/>
  <c r="T23" i="18"/>
  <c r="S21" i="18"/>
  <c r="T19" i="16"/>
  <c r="V23" i="18"/>
  <c r="D6" i="18"/>
  <c r="D6" i="17" s="1"/>
  <c r="B4" i="9" s="1"/>
  <c r="D6" i="16"/>
  <c r="S19" i="16"/>
  <c r="S21" i="16"/>
  <c r="S23" i="16"/>
  <c r="V23" i="16"/>
  <c r="S20" i="16"/>
  <c r="S22" i="16"/>
  <c r="S24" i="16"/>
  <c r="T20" i="16"/>
  <c r="T22" i="16"/>
  <c r="T23" i="16"/>
  <c r="O14" i="18" l="1"/>
  <c r="O16" i="18"/>
  <c r="D11" i="18" s="1"/>
  <c r="D11" i="17" s="1"/>
  <c r="E4" i="9" s="1"/>
  <c r="O15" i="18"/>
  <c r="O14" i="16"/>
  <c r="D9" i="16" s="1"/>
  <c r="O16" i="16"/>
  <c r="O15" i="16"/>
  <c r="V22" i="16"/>
  <c r="P55" i="24"/>
  <c r="D11" i="26"/>
  <c r="D11" i="25" s="1"/>
  <c r="V22" i="26"/>
  <c r="P57" i="24"/>
  <c r="Q57" i="24" s="1"/>
  <c r="U68" i="24" s="1"/>
  <c r="V22" i="24"/>
  <c r="D6" i="4"/>
  <c r="V22" i="18"/>
  <c r="O21" i="26" l="1"/>
  <c r="O24" i="26"/>
  <c r="O20" i="26"/>
  <c r="O22" i="26"/>
  <c r="O23" i="26"/>
  <c r="O19" i="26"/>
  <c r="O21" i="16"/>
  <c r="O22" i="16"/>
  <c r="O24" i="16"/>
  <c r="O20" i="16"/>
  <c r="O23" i="16"/>
  <c r="O19" i="16"/>
  <c r="O23" i="18"/>
  <c r="O19" i="18"/>
  <c r="O24" i="18"/>
  <c r="O22" i="18"/>
  <c r="O21" i="18"/>
  <c r="O20" i="18"/>
  <c r="O23" i="24"/>
  <c r="P52" i="24" s="1"/>
  <c r="O19" i="24"/>
  <c r="P48" i="24" s="1"/>
  <c r="O20" i="24"/>
  <c r="O22" i="24"/>
  <c r="O21" i="24"/>
  <c r="O24" i="24"/>
  <c r="C41" i="25"/>
  <c r="E5" i="9"/>
  <c r="P57" i="26"/>
  <c r="Q57" i="26" s="1"/>
  <c r="U68" i="26" s="1"/>
  <c r="D10" i="26"/>
  <c r="D10" i="25" s="1"/>
  <c r="D5" i="9" s="1"/>
  <c r="P56" i="26"/>
  <c r="Q56" i="26" s="1"/>
  <c r="U67" i="26" s="1"/>
  <c r="P55" i="26"/>
  <c r="Q55" i="26" s="1"/>
  <c r="U66" i="26" s="1"/>
  <c r="D9" i="26"/>
  <c r="D9" i="25" s="1"/>
  <c r="C5" i="9" s="1"/>
  <c r="Q55" i="24"/>
  <c r="U66" i="24" s="1"/>
  <c r="P56" i="24"/>
  <c r="Q56" i="24" s="1"/>
  <c r="U67" i="24" s="1"/>
  <c r="P57" i="18"/>
  <c r="Q57" i="18" s="1"/>
  <c r="U68" i="18" s="1"/>
  <c r="D9" i="4"/>
  <c r="P56" i="18"/>
  <c r="D10" i="18"/>
  <c r="D10" i="17" s="1"/>
  <c r="D4" i="9" s="1"/>
  <c r="D9" i="18"/>
  <c r="D9" i="17" s="1"/>
  <c r="C4" i="9" s="1"/>
  <c r="P55" i="18"/>
  <c r="P55" i="16"/>
  <c r="P56" i="16"/>
  <c r="D10" i="16"/>
  <c r="P57" i="16"/>
  <c r="D11" i="16"/>
  <c r="I41" i="25" l="1"/>
  <c r="J41" i="25"/>
  <c r="M41" i="25"/>
  <c r="L41" i="25"/>
  <c r="U72" i="26"/>
  <c r="U73" i="26" s="1"/>
  <c r="V68" i="26" s="1"/>
  <c r="C39" i="25"/>
  <c r="H27" i="25"/>
  <c r="C40" i="25"/>
  <c r="H28" i="25"/>
  <c r="P48" i="26"/>
  <c r="Q48" i="26" s="1"/>
  <c r="U59" i="26" s="1"/>
  <c r="D14" i="26"/>
  <c r="D14" i="25" s="1"/>
  <c r="F5" i="9" s="1"/>
  <c r="D18" i="26"/>
  <c r="D18" i="25" s="1"/>
  <c r="J5" i="9" s="1"/>
  <c r="P52" i="26"/>
  <c r="Q52" i="26" s="1"/>
  <c r="U63" i="26" s="1"/>
  <c r="P50" i="26"/>
  <c r="Q50" i="26" s="1"/>
  <c r="U61" i="26" s="1"/>
  <c r="D16" i="26"/>
  <c r="D16" i="25" s="1"/>
  <c r="H5" i="9" s="1"/>
  <c r="D17" i="26"/>
  <c r="D17" i="25" s="1"/>
  <c r="I5" i="9" s="1"/>
  <c r="P51" i="26"/>
  <c r="Q51" i="26" s="1"/>
  <c r="U62" i="26" s="1"/>
  <c r="D15" i="26"/>
  <c r="D15" i="25" s="1"/>
  <c r="G5" i="9" s="1"/>
  <c r="P49" i="26"/>
  <c r="Q49" i="26" s="1"/>
  <c r="U60" i="26" s="1"/>
  <c r="D19" i="26"/>
  <c r="D19" i="25" s="1"/>
  <c r="K5" i="9" s="1"/>
  <c r="P53" i="26"/>
  <c r="Q53" i="26" s="1"/>
  <c r="U64" i="26" s="1"/>
  <c r="Q52" i="24"/>
  <c r="U63" i="24" s="1"/>
  <c r="D18" i="24"/>
  <c r="D18" i="23" s="1"/>
  <c r="J3" i="9" s="1"/>
  <c r="P49" i="24"/>
  <c r="Q49" i="24" s="1"/>
  <c r="U60" i="24" s="1"/>
  <c r="D15" i="24"/>
  <c r="D15" i="23" s="1"/>
  <c r="G3" i="9" s="1"/>
  <c r="P53" i="24"/>
  <c r="Q53" i="24" s="1"/>
  <c r="U64" i="24" s="1"/>
  <c r="D19" i="24"/>
  <c r="D19" i="23" s="1"/>
  <c r="K3" i="9" s="1"/>
  <c r="Q48" i="24"/>
  <c r="U59" i="24" s="1"/>
  <c r="D14" i="24"/>
  <c r="D14" i="23" s="1"/>
  <c r="F3" i="9" s="1"/>
  <c r="P50" i="24"/>
  <c r="Q50" i="24" s="1"/>
  <c r="U61" i="24" s="1"/>
  <c r="D16" i="24"/>
  <c r="D16" i="23" s="1"/>
  <c r="H3" i="9" s="1"/>
  <c r="P51" i="24"/>
  <c r="Q51" i="24" s="1"/>
  <c r="U62" i="24" s="1"/>
  <c r="D17" i="24"/>
  <c r="D17" i="23" s="1"/>
  <c r="I3" i="9" s="1"/>
  <c r="U72" i="24"/>
  <c r="U73" i="24" s="1"/>
  <c r="Q56" i="16"/>
  <c r="U67" i="16" s="1"/>
  <c r="Q55" i="18"/>
  <c r="U66" i="18" s="1"/>
  <c r="Q56" i="18"/>
  <c r="U67" i="18" s="1"/>
  <c r="Q57" i="16"/>
  <c r="U68" i="16" s="1"/>
  <c r="Q55" i="16"/>
  <c r="U66" i="16" s="1"/>
  <c r="D10" i="4"/>
  <c r="H27" i="17"/>
  <c r="D11" i="4"/>
  <c r="C41" i="17"/>
  <c r="C39" i="17"/>
  <c r="D14" i="18"/>
  <c r="D14" i="17" s="1"/>
  <c r="F4" i="9" s="1"/>
  <c r="P48" i="18"/>
  <c r="D19" i="18"/>
  <c r="D19" i="17" s="1"/>
  <c r="K4" i="9" s="1"/>
  <c r="P53" i="18"/>
  <c r="D15" i="18"/>
  <c r="D15" i="17" s="1"/>
  <c r="G4" i="9" s="1"/>
  <c r="P49" i="18"/>
  <c r="D16" i="18"/>
  <c r="D16" i="17" s="1"/>
  <c r="H4" i="9" s="1"/>
  <c r="P50" i="18"/>
  <c r="D17" i="18"/>
  <c r="D17" i="17" s="1"/>
  <c r="I4" i="9" s="1"/>
  <c r="P51" i="18"/>
  <c r="D18" i="18"/>
  <c r="D18" i="17" s="1"/>
  <c r="J4" i="9" s="1"/>
  <c r="P52" i="18"/>
  <c r="D14" i="16"/>
  <c r="P48" i="16"/>
  <c r="P52" i="16"/>
  <c r="D18" i="16"/>
  <c r="D16" i="16"/>
  <c r="P50" i="16"/>
  <c r="D17" i="16"/>
  <c r="P51" i="16"/>
  <c r="D15" i="16"/>
  <c r="P49" i="16"/>
  <c r="D19" i="16"/>
  <c r="P53" i="16"/>
  <c r="L41" i="17" l="1"/>
  <c r="M41" i="17"/>
  <c r="J41" i="17"/>
  <c r="I41" i="17"/>
  <c r="M39" i="17"/>
  <c r="J39" i="17"/>
  <c r="I39" i="17"/>
  <c r="L39" i="17"/>
  <c r="J40" i="25"/>
  <c r="M40" i="25"/>
  <c r="I40" i="25"/>
  <c r="L40" i="25"/>
  <c r="J39" i="25"/>
  <c r="L39" i="25"/>
  <c r="I39" i="25"/>
  <c r="M39" i="25"/>
  <c r="V66" i="26"/>
  <c r="I28" i="25"/>
  <c r="V67" i="26"/>
  <c r="C45" i="25"/>
  <c r="I27" i="25"/>
  <c r="C46" i="25"/>
  <c r="C44" i="25"/>
  <c r="C49" i="25"/>
  <c r="C47" i="25"/>
  <c r="C48" i="25"/>
  <c r="U70" i="26"/>
  <c r="U71" i="26" s="1"/>
  <c r="C47" i="23"/>
  <c r="C45" i="23"/>
  <c r="C46" i="23"/>
  <c r="C49" i="23"/>
  <c r="C48" i="23"/>
  <c r="C44" i="23"/>
  <c r="U70" i="24"/>
  <c r="U71" i="24" s="1"/>
  <c r="V68" i="24"/>
  <c r="V67" i="24"/>
  <c r="V66" i="24"/>
  <c r="U72" i="18"/>
  <c r="U73" i="18" s="1"/>
  <c r="V66" i="18" s="1"/>
  <c r="U72" i="16"/>
  <c r="U73" i="16" s="1"/>
  <c r="V66" i="16" s="1"/>
  <c r="Q53" i="16"/>
  <c r="U64" i="16" s="1"/>
  <c r="Q51" i="16"/>
  <c r="U62" i="16" s="1"/>
  <c r="Q52" i="16"/>
  <c r="U63" i="16" s="1"/>
  <c r="Q49" i="16"/>
  <c r="U60" i="16" s="1"/>
  <c r="Q50" i="16"/>
  <c r="U61" i="16" s="1"/>
  <c r="Q48" i="16"/>
  <c r="U59" i="16" s="1"/>
  <c r="Q52" i="18"/>
  <c r="U63" i="18" s="1"/>
  <c r="Q50" i="18"/>
  <c r="U61" i="18" s="1"/>
  <c r="Q53" i="18"/>
  <c r="U64" i="18" s="1"/>
  <c r="Q51" i="18"/>
  <c r="U62" i="18" s="1"/>
  <c r="Q49" i="18"/>
  <c r="U60" i="18" s="1"/>
  <c r="Q48" i="18"/>
  <c r="U59" i="18" s="1"/>
  <c r="C40" i="17"/>
  <c r="H28" i="17"/>
  <c r="I28" i="17" s="1"/>
  <c r="D16" i="4"/>
  <c r="D18" i="4"/>
  <c r="D15" i="4"/>
  <c r="D19" i="4"/>
  <c r="D17" i="4"/>
  <c r="D14" i="4"/>
  <c r="M40" i="17" l="1"/>
  <c r="J40" i="17"/>
  <c r="I40" i="17"/>
  <c r="L40" i="17"/>
  <c r="V72" i="26"/>
  <c r="V73" i="26" s="1"/>
  <c r="W68" i="26" s="1"/>
  <c r="U75" i="26"/>
  <c r="V64" i="26"/>
  <c r="V63" i="26"/>
  <c r="V62" i="26"/>
  <c r="V61" i="26"/>
  <c r="V60" i="26"/>
  <c r="V59" i="26"/>
  <c r="V72" i="24"/>
  <c r="V73" i="24" s="1"/>
  <c r="W68" i="24" s="1"/>
  <c r="U75" i="24"/>
  <c r="V62" i="24"/>
  <c r="V61" i="24"/>
  <c r="V59" i="24"/>
  <c r="V64" i="24"/>
  <c r="V60" i="24"/>
  <c r="V63" i="24"/>
  <c r="V68" i="16"/>
  <c r="V68" i="18"/>
  <c r="V67" i="16"/>
  <c r="V67" i="18"/>
  <c r="U70" i="16"/>
  <c r="U71" i="16" s="1"/>
  <c r="V63" i="16" s="1"/>
  <c r="U70" i="18"/>
  <c r="U71" i="18" s="1"/>
  <c r="V62" i="18" s="1"/>
  <c r="I27" i="17"/>
  <c r="C44" i="17"/>
  <c r="C49" i="17"/>
  <c r="C48" i="17"/>
  <c r="C47" i="17"/>
  <c r="C45" i="17"/>
  <c r="C46" i="17"/>
  <c r="W67" i="26" l="1"/>
  <c r="W66" i="26"/>
  <c r="U75" i="16"/>
  <c r="V60" i="16"/>
  <c r="V72" i="16"/>
  <c r="V73" i="16" s="1"/>
  <c r="W66" i="16" s="1"/>
  <c r="W67" i="24"/>
  <c r="W66" i="24"/>
  <c r="V70" i="26"/>
  <c r="V71" i="26" s="1"/>
  <c r="V70" i="24"/>
  <c r="V71" i="24" s="1"/>
  <c r="V59" i="16"/>
  <c r="V72" i="18"/>
  <c r="V73" i="18" s="1"/>
  <c r="W66" i="18" s="1"/>
  <c r="V64" i="16"/>
  <c r="V61" i="16"/>
  <c r="V62" i="16"/>
  <c r="V60" i="18"/>
  <c r="V59" i="18"/>
  <c r="V63" i="18"/>
  <c r="V61" i="18"/>
  <c r="U75" i="18"/>
  <c r="V64" i="18"/>
  <c r="W72" i="26" l="1"/>
  <c r="W73" i="26" s="1"/>
  <c r="X67" i="26" s="1"/>
  <c r="W68" i="16"/>
  <c r="W67" i="16"/>
  <c r="W72" i="24"/>
  <c r="W73" i="24" s="1"/>
  <c r="X66" i="24" s="1"/>
  <c r="W68" i="18"/>
  <c r="V70" i="16"/>
  <c r="V71" i="16" s="1"/>
  <c r="W63" i="16" s="1"/>
  <c r="V75" i="26"/>
  <c r="W64" i="26"/>
  <c r="W63" i="26"/>
  <c r="W62" i="26"/>
  <c r="W61" i="26"/>
  <c r="W60" i="26"/>
  <c r="W59" i="26"/>
  <c r="V75" i="24"/>
  <c r="W64" i="24"/>
  <c r="W63" i="24"/>
  <c r="W62" i="24"/>
  <c r="W61" i="24"/>
  <c r="W60" i="24"/>
  <c r="W59" i="24"/>
  <c r="W67" i="18"/>
  <c r="V70" i="18"/>
  <c r="V71" i="18" s="1"/>
  <c r="W63" i="18" s="1"/>
  <c r="W72" i="16" l="1"/>
  <c r="W73" i="16" s="1"/>
  <c r="X66" i="16" s="1"/>
  <c r="X68" i="26"/>
  <c r="X66" i="26"/>
  <c r="V75" i="16"/>
  <c r="X68" i="24"/>
  <c r="X67" i="24"/>
  <c r="W60" i="16"/>
  <c r="W61" i="16"/>
  <c r="W64" i="16"/>
  <c r="W72" i="18"/>
  <c r="W73" i="18" s="1"/>
  <c r="X68" i="18" s="1"/>
  <c r="W62" i="16"/>
  <c r="W59" i="16"/>
  <c r="W70" i="26"/>
  <c r="W71" i="26" s="1"/>
  <c r="W70" i="24"/>
  <c r="W71" i="24" s="1"/>
  <c r="W60" i="18"/>
  <c r="W62" i="18"/>
  <c r="V75" i="18"/>
  <c r="W59" i="18"/>
  <c r="W61" i="18"/>
  <c r="W64" i="18"/>
  <c r="X68" i="16" l="1"/>
  <c r="X72" i="24"/>
  <c r="X73" i="24" s="1"/>
  <c r="Y66" i="24" s="1"/>
  <c r="X67" i="16"/>
  <c r="X72" i="26"/>
  <c r="X73" i="26" s="1"/>
  <c r="Y66" i="26" s="1"/>
  <c r="W70" i="16"/>
  <c r="W71" i="16" s="1"/>
  <c r="X63" i="16" s="1"/>
  <c r="X66" i="18"/>
  <c r="X67" i="18"/>
  <c r="W75" i="26"/>
  <c r="X64" i="26"/>
  <c r="X63" i="26"/>
  <c r="X62" i="26"/>
  <c r="X61" i="26"/>
  <c r="X60" i="26"/>
  <c r="X59" i="26"/>
  <c r="W75" i="24"/>
  <c r="X64" i="24"/>
  <c r="X63" i="24"/>
  <c r="X62" i="24"/>
  <c r="X61" i="24"/>
  <c r="X60" i="24"/>
  <c r="X59" i="24"/>
  <c r="W70" i="18"/>
  <c r="W71" i="18" s="1"/>
  <c r="X62" i="18" s="1"/>
  <c r="X72" i="16" l="1"/>
  <c r="X73" i="16" s="1"/>
  <c r="Y68" i="16" s="1"/>
  <c r="Y68" i="24"/>
  <c r="Y67" i="24"/>
  <c r="Y68" i="26"/>
  <c r="Y67" i="26"/>
  <c r="X59" i="16"/>
  <c r="W75" i="16"/>
  <c r="X61" i="16"/>
  <c r="X62" i="16"/>
  <c r="X64" i="16"/>
  <c r="X60" i="16"/>
  <c r="X72" i="18"/>
  <c r="X73" i="18" s="1"/>
  <c r="Y68" i="18" s="1"/>
  <c r="Y66" i="16"/>
  <c r="X70" i="26"/>
  <c r="X71" i="26" s="1"/>
  <c r="X70" i="24"/>
  <c r="X71" i="24" s="1"/>
  <c r="X59" i="18"/>
  <c r="X63" i="18"/>
  <c r="X64" i="18"/>
  <c r="W75" i="18"/>
  <c r="X60" i="18"/>
  <c r="X61" i="18"/>
  <c r="N51" i="3"/>
  <c r="N50" i="3"/>
  <c r="N49" i="3"/>
  <c r="N47" i="3"/>
  <c r="N43" i="3"/>
  <c r="N54" i="3"/>
  <c r="N52" i="3"/>
  <c r="N48" i="3"/>
  <c r="N46" i="3"/>
  <c r="N44" i="3"/>
  <c r="N45" i="3"/>
  <c r="N42" i="3"/>
  <c r="N41" i="3"/>
  <c r="N40" i="3"/>
  <c r="N39" i="3"/>
  <c r="E25" i="3"/>
  <c r="E26" i="3"/>
  <c r="K26" i="3" s="1"/>
  <c r="E27" i="3"/>
  <c r="K27" i="3" s="1"/>
  <c r="E28" i="3"/>
  <c r="K28" i="3" s="1"/>
  <c r="E29" i="3"/>
  <c r="E30" i="3"/>
  <c r="K30" i="3" s="1"/>
  <c r="E31" i="3"/>
  <c r="K31" i="3" s="1"/>
  <c r="E32" i="3"/>
  <c r="E33" i="3"/>
  <c r="K33" i="3" s="1"/>
  <c r="E34" i="3"/>
  <c r="K34" i="3" s="1"/>
  <c r="E35" i="3"/>
  <c r="K35" i="3" s="1"/>
  <c r="E36" i="3"/>
  <c r="K36" i="3" s="1"/>
  <c r="E37" i="3"/>
  <c r="K37" i="3" s="1"/>
  <c r="E38" i="3"/>
  <c r="K38" i="3" s="1"/>
  <c r="E39" i="3"/>
  <c r="K39" i="3" s="1"/>
  <c r="E40" i="3"/>
  <c r="K40" i="3" s="1"/>
  <c r="E41" i="3"/>
  <c r="K41" i="3" s="1"/>
  <c r="E42" i="3"/>
  <c r="K42" i="3" s="1"/>
  <c r="E43" i="3"/>
  <c r="K43" i="3" s="1"/>
  <c r="E44" i="3"/>
  <c r="K44" i="3" s="1"/>
  <c r="E45" i="3"/>
  <c r="K45" i="3" s="1"/>
  <c r="E46" i="3"/>
  <c r="K46" i="3" s="1"/>
  <c r="E47" i="3"/>
  <c r="K47" i="3" s="1"/>
  <c r="E48" i="3"/>
  <c r="K48" i="3" s="1"/>
  <c r="E49" i="3"/>
  <c r="K49" i="3" s="1"/>
  <c r="E50" i="3"/>
  <c r="K50" i="3" s="1"/>
  <c r="E51" i="3"/>
  <c r="K51" i="3" s="1"/>
  <c r="E52" i="3"/>
  <c r="K52" i="3" s="1"/>
  <c r="E53" i="3"/>
  <c r="K53" i="3" s="1"/>
  <c r="E54" i="3"/>
  <c r="K54" i="3" s="1"/>
  <c r="D25" i="3"/>
  <c r="Y67" i="16" l="1"/>
  <c r="Y72" i="16" s="1"/>
  <c r="Y73" i="16" s="1"/>
  <c r="Z68" i="16" s="1"/>
  <c r="Y72" i="24"/>
  <c r="Y73" i="24" s="1"/>
  <c r="Z66" i="24" s="1"/>
  <c r="Y72" i="26"/>
  <c r="Y73" i="26" s="1"/>
  <c r="Z67" i="26" s="1"/>
  <c r="X70" i="16"/>
  <c r="X71" i="16" s="1"/>
  <c r="Y64" i="16" s="1"/>
  <c r="Y67" i="18"/>
  <c r="Y66" i="18"/>
  <c r="X75" i="26"/>
  <c r="Y64" i="26"/>
  <c r="Y63" i="26"/>
  <c r="Y62" i="26"/>
  <c r="Y60" i="26"/>
  <c r="Y59" i="26"/>
  <c r="Y61" i="26"/>
  <c r="X75" i="24"/>
  <c r="Y64" i="24"/>
  <c r="Y63" i="24"/>
  <c r="Y62" i="24"/>
  <c r="Y61" i="24"/>
  <c r="Y60" i="24"/>
  <c r="Y59" i="24"/>
  <c r="X70" i="18"/>
  <c r="X71" i="18" s="1"/>
  <c r="X75" i="18" s="1"/>
  <c r="K32" i="3"/>
  <c r="K25" i="3"/>
  <c r="K29" i="3"/>
  <c r="L54" i="3" l="1"/>
  <c r="I54" i="3" s="1"/>
  <c r="Z68" i="24"/>
  <c r="Z67" i="24"/>
  <c r="Z66" i="16"/>
  <c r="Z67" i="16"/>
  <c r="Z66" i="26"/>
  <c r="Z68" i="26"/>
  <c r="L46" i="3"/>
  <c r="J46" i="3" s="1"/>
  <c r="Y61" i="16"/>
  <c r="Y63" i="16"/>
  <c r="Y59" i="16"/>
  <c r="Y62" i="16"/>
  <c r="X75" i="16"/>
  <c r="Y60" i="16"/>
  <c r="Y72" i="18"/>
  <c r="Y73" i="18" s="1"/>
  <c r="Z66" i="18" s="1"/>
  <c r="Y70" i="26"/>
  <c r="Y71" i="26" s="1"/>
  <c r="Y70" i="24"/>
  <c r="Y71" i="24" s="1"/>
  <c r="Z61" i="24" s="1"/>
  <c r="Y59" i="18"/>
  <c r="Y63" i="18"/>
  <c r="Y60" i="18"/>
  <c r="Y61" i="18"/>
  <c r="Y64" i="18"/>
  <c r="Y62" i="18"/>
  <c r="L51" i="3"/>
  <c r="J51" i="3" s="1"/>
  <c r="L47" i="3"/>
  <c r="J47" i="3" s="1"/>
  <c r="L41" i="3"/>
  <c r="M41" i="3" s="1"/>
  <c r="L48" i="3"/>
  <c r="M48" i="3" s="1"/>
  <c r="L40" i="3"/>
  <c r="J40" i="3" s="1"/>
  <c r="L39" i="3"/>
  <c r="J39" i="3" s="1"/>
  <c r="L42" i="3"/>
  <c r="M42" i="3" s="1"/>
  <c r="L49" i="3"/>
  <c r="M49" i="3" s="1"/>
  <c r="L50" i="3"/>
  <c r="M50" i="3" s="1"/>
  <c r="L52" i="3"/>
  <c r="L43" i="3"/>
  <c r="J43" i="3" s="1"/>
  <c r="L44" i="3"/>
  <c r="J44" i="3" s="1"/>
  <c r="L45" i="3"/>
  <c r="J45" i="3" s="1"/>
  <c r="Z72" i="24" l="1"/>
  <c r="Z73" i="24" s="1"/>
  <c r="AA68" i="24" s="1"/>
  <c r="Z72" i="16"/>
  <c r="Z73" i="16" s="1"/>
  <c r="AA68" i="16" s="1"/>
  <c r="M46" i="3"/>
  <c r="Z72" i="26"/>
  <c r="Z73" i="26" s="1"/>
  <c r="AA67" i="26" s="1"/>
  <c r="Y70" i="16"/>
  <c r="Y71" i="16" s="1"/>
  <c r="Z60" i="16" s="1"/>
  <c r="Z67" i="18"/>
  <c r="Z68" i="18"/>
  <c r="J41" i="3"/>
  <c r="AA66" i="24"/>
  <c r="AA67" i="24"/>
  <c r="Y70" i="18"/>
  <c r="Y71" i="18" s="1"/>
  <c r="Z60" i="18" s="1"/>
  <c r="Y75" i="26"/>
  <c r="Z63" i="26"/>
  <c r="Z64" i="26"/>
  <c r="Z62" i="26"/>
  <c r="Z61" i="26"/>
  <c r="Z60" i="26"/>
  <c r="Z59" i="26"/>
  <c r="Z63" i="24"/>
  <c r="Z60" i="24"/>
  <c r="Y75" i="24"/>
  <c r="Z62" i="24"/>
  <c r="Z64" i="24"/>
  <c r="Z59" i="24"/>
  <c r="J52" i="3"/>
  <c r="J48" i="3"/>
  <c r="M44" i="3"/>
  <c r="M39" i="3"/>
  <c r="M51" i="3"/>
  <c r="M47" i="3"/>
  <c r="J50" i="3"/>
  <c r="J49" i="3"/>
  <c r="M43" i="3"/>
  <c r="J42" i="3"/>
  <c r="M40" i="3"/>
  <c r="M54" i="3"/>
  <c r="M52" i="3"/>
  <c r="M45" i="3"/>
  <c r="J54" i="3"/>
  <c r="AA66" i="16" l="1"/>
  <c r="AA67" i="16"/>
  <c r="AA72" i="16" s="1"/>
  <c r="AA73" i="16" s="1"/>
  <c r="AB67" i="16" s="1"/>
  <c r="Z72" i="18"/>
  <c r="Z73" i="18" s="1"/>
  <c r="AA68" i="18" s="1"/>
  <c r="AA66" i="26"/>
  <c r="AA68" i="26"/>
  <c r="Z61" i="16"/>
  <c r="Z59" i="16"/>
  <c r="Y75" i="16"/>
  <c r="Z62" i="16"/>
  <c r="Z64" i="16"/>
  <c r="Z63" i="16"/>
  <c r="AA72" i="24"/>
  <c r="AA73" i="24" s="1"/>
  <c r="AB67" i="24" s="1"/>
  <c r="Z59" i="18"/>
  <c r="Z62" i="18"/>
  <c r="Z64" i="18"/>
  <c r="Z63" i="18"/>
  <c r="Z61" i="18"/>
  <c r="Y75" i="18"/>
  <c r="Z70" i="26"/>
  <c r="Z71" i="26" s="1"/>
  <c r="Z70" i="24"/>
  <c r="Z71" i="24" s="1"/>
  <c r="Z75" i="24" s="1"/>
  <c r="N53" i="3"/>
  <c r="L53" i="3" s="1"/>
  <c r="N38" i="3"/>
  <c r="L38" i="3" s="1"/>
  <c r="N37" i="3"/>
  <c r="L37" i="3" s="1"/>
  <c r="N36" i="3"/>
  <c r="L36" i="3" s="1"/>
  <c r="N35" i="3"/>
  <c r="L35" i="3" s="1"/>
  <c r="N34" i="3"/>
  <c r="L34" i="3" s="1"/>
  <c r="N33" i="3"/>
  <c r="L33" i="3" s="1"/>
  <c r="N32" i="3"/>
  <c r="L32" i="3" s="1"/>
  <c r="N31" i="3"/>
  <c r="L31" i="3" s="1"/>
  <c r="N30" i="3"/>
  <c r="L30" i="3" s="1"/>
  <c r="N29" i="3"/>
  <c r="L29" i="3" s="1"/>
  <c r="N28" i="3"/>
  <c r="L28" i="3" s="1"/>
  <c r="N27" i="3"/>
  <c r="L27" i="3" s="1"/>
  <c r="N26" i="3"/>
  <c r="L26" i="3" s="1"/>
  <c r="N25" i="3"/>
  <c r="L25" i="3" s="1"/>
  <c r="AA66" i="18" l="1"/>
  <c r="AA67" i="18"/>
  <c r="AA72" i="26"/>
  <c r="AA73" i="26" s="1"/>
  <c r="AB68" i="26" s="1"/>
  <c r="Z70" i="16"/>
  <c r="Z71" i="16" s="1"/>
  <c r="AA64" i="16" s="1"/>
  <c r="AB68" i="24"/>
  <c r="AB66" i="24"/>
  <c r="M30" i="3"/>
  <c r="J30" i="3"/>
  <c r="M27" i="3"/>
  <c r="J27" i="3"/>
  <c r="J35" i="3"/>
  <c r="M35" i="3"/>
  <c r="M28" i="3"/>
  <c r="J28" i="3"/>
  <c r="J32" i="3"/>
  <c r="M32" i="3"/>
  <c r="J26" i="3"/>
  <c r="M26" i="3"/>
  <c r="M34" i="3"/>
  <c r="J34" i="3"/>
  <c r="M31" i="3"/>
  <c r="J31" i="3"/>
  <c r="J25" i="3"/>
  <c r="M25" i="3"/>
  <c r="M29" i="3"/>
  <c r="J29" i="3"/>
  <c r="M33" i="3"/>
  <c r="J33" i="3"/>
  <c r="Z70" i="18"/>
  <c r="Z71" i="18" s="1"/>
  <c r="AA63" i="18" s="1"/>
  <c r="AB68" i="16"/>
  <c r="Z75" i="26"/>
  <c r="AA64" i="26"/>
  <c r="AA63" i="26"/>
  <c r="AA62" i="26"/>
  <c r="AA61" i="26"/>
  <c r="AA60" i="26"/>
  <c r="AA59" i="26"/>
  <c r="AA62" i="24"/>
  <c r="AA59" i="24"/>
  <c r="AA63" i="24"/>
  <c r="AA60" i="24"/>
  <c r="AA64" i="24"/>
  <c r="AA61" i="24"/>
  <c r="AB66" i="16"/>
  <c r="M37" i="3"/>
  <c r="J37" i="3"/>
  <c r="J36" i="3"/>
  <c r="M36" i="3"/>
  <c r="M38" i="3"/>
  <c r="J38" i="3"/>
  <c r="M53" i="3"/>
  <c r="J53" i="3"/>
  <c r="U10" i="9"/>
  <c r="U11" i="9"/>
  <c r="U13" i="9"/>
  <c r="U14" i="9"/>
  <c r="U15" i="9"/>
  <c r="U16" i="9"/>
  <c r="U17" i="9"/>
  <c r="U18" i="9"/>
  <c r="U19" i="9"/>
  <c r="U20" i="9"/>
  <c r="U21" i="9"/>
  <c r="U22" i="9"/>
  <c r="U23" i="9"/>
  <c r="U24" i="9"/>
  <c r="U25" i="9"/>
  <c r="U26" i="9"/>
  <c r="U27" i="9"/>
  <c r="U28" i="9"/>
  <c r="U29" i="9"/>
  <c r="U9" i="9"/>
  <c r="D33" i="3"/>
  <c r="I46" i="3" s="1"/>
  <c r="AA72" i="18" l="1"/>
  <c r="AA73" i="18" s="1"/>
  <c r="AB68" i="18" s="1"/>
  <c r="AB72" i="24"/>
  <c r="AB73" i="24" s="1"/>
  <c r="AC68" i="24" s="1"/>
  <c r="AB67" i="26"/>
  <c r="AB66" i="26"/>
  <c r="AA63" i="16"/>
  <c r="AA59" i="16"/>
  <c r="AA61" i="16"/>
  <c r="Z75" i="16"/>
  <c r="AA60" i="16"/>
  <c r="AA62" i="16"/>
  <c r="AA62" i="18"/>
  <c r="AA60" i="18"/>
  <c r="AA64" i="18"/>
  <c r="AA59" i="18"/>
  <c r="AB72" i="16"/>
  <c r="AB73" i="16" s="1"/>
  <c r="AC68" i="16" s="1"/>
  <c r="Z75" i="18"/>
  <c r="AA61" i="18"/>
  <c r="AA70" i="26"/>
  <c r="AA71" i="26" s="1"/>
  <c r="AA70" i="24"/>
  <c r="AA71" i="24" s="1"/>
  <c r="AB63" i="24" s="1"/>
  <c r="K2" i="9"/>
  <c r="J2" i="9"/>
  <c r="I2" i="9"/>
  <c r="H2" i="9"/>
  <c r="G2" i="9"/>
  <c r="F2" i="9"/>
  <c r="E2" i="9"/>
  <c r="D2" i="9"/>
  <c r="C2" i="9"/>
  <c r="B2" i="9"/>
  <c r="AC7" i="1" s="1"/>
  <c r="C45" i="4"/>
  <c r="C46" i="4"/>
  <c r="C47" i="4"/>
  <c r="C48" i="4"/>
  <c r="C49" i="4"/>
  <c r="C44" i="4"/>
  <c r="C40" i="4"/>
  <c r="C41" i="4"/>
  <c r="C39" i="4"/>
  <c r="H27" i="4"/>
  <c r="H28" i="4"/>
  <c r="B54" i="3"/>
  <c r="G25" i="3" s="1"/>
  <c r="C54" i="3"/>
  <c r="H25" i="3" s="1"/>
  <c r="D54" i="3"/>
  <c r="I25" i="3" s="1"/>
  <c r="B26" i="3"/>
  <c r="G53" i="3" s="1"/>
  <c r="C26" i="3"/>
  <c r="H53" i="3" s="1"/>
  <c r="D26" i="3"/>
  <c r="I53" i="3" s="1"/>
  <c r="B27" i="3"/>
  <c r="G52" i="3" s="1"/>
  <c r="C27" i="3"/>
  <c r="H52" i="3" s="1"/>
  <c r="D27" i="3"/>
  <c r="I52" i="3" s="1"/>
  <c r="B28" i="3"/>
  <c r="G51" i="3" s="1"/>
  <c r="C28" i="3"/>
  <c r="H51" i="3" s="1"/>
  <c r="D28" i="3"/>
  <c r="I51" i="3" s="1"/>
  <c r="B29" i="3"/>
  <c r="G50" i="3" s="1"/>
  <c r="C29" i="3"/>
  <c r="H50" i="3" s="1"/>
  <c r="D29" i="3"/>
  <c r="I50" i="3" s="1"/>
  <c r="B30" i="3"/>
  <c r="G49" i="3" s="1"/>
  <c r="C30" i="3"/>
  <c r="H49" i="3" s="1"/>
  <c r="D30" i="3"/>
  <c r="I49" i="3" s="1"/>
  <c r="B31" i="3"/>
  <c r="G48" i="3" s="1"/>
  <c r="C31" i="3"/>
  <c r="H48" i="3" s="1"/>
  <c r="D31" i="3"/>
  <c r="I48" i="3" s="1"/>
  <c r="B32" i="3"/>
  <c r="G47" i="3" s="1"/>
  <c r="C32" i="3"/>
  <c r="H47" i="3" s="1"/>
  <c r="D32" i="3"/>
  <c r="I47" i="3" s="1"/>
  <c r="B33" i="3"/>
  <c r="G46" i="3" s="1"/>
  <c r="C33" i="3"/>
  <c r="H46" i="3" s="1"/>
  <c r="B34" i="3"/>
  <c r="G45" i="3" s="1"/>
  <c r="C34" i="3"/>
  <c r="H45" i="3" s="1"/>
  <c r="D34" i="3"/>
  <c r="I45" i="3" s="1"/>
  <c r="B35" i="3"/>
  <c r="G44" i="3" s="1"/>
  <c r="C35" i="3"/>
  <c r="H44" i="3" s="1"/>
  <c r="D35" i="3"/>
  <c r="I44" i="3" s="1"/>
  <c r="B36" i="3"/>
  <c r="G43" i="3" s="1"/>
  <c r="C36" i="3"/>
  <c r="H43" i="3" s="1"/>
  <c r="D36" i="3"/>
  <c r="I43" i="3" s="1"/>
  <c r="B37" i="3"/>
  <c r="G42" i="3" s="1"/>
  <c r="C37" i="3"/>
  <c r="H42" i="3" s="1"/>
  <c r="D37" i="3"/>
  <c r="I42" i="3" s="1"/>
  <c r="B38" i="3"/>
  <c r="G41" i="3" s="1"/>
  <c r="C38" i="3"/>
  <c r="H41" i="3" s="1"/>
  <c r="D38" i="3"/>
  <c r="I41" i="3" s="1"/>
  <c r="B39" i="3"/>
  <c r="G40" i="3" s="1"/>
  <c r="C39" i="3"/>
  <c r="H40" i="3" s="1"/>
  <c r="D39" i="3"/>
  <c r="I40" i="3" s="1"/>
  <c r="B40" i="3"/>
  <c r="G39" i="3" s="1"/>
  <c r="C40" i="3"/>
  <c r="H39" i="3" s="1"/>
  <c r="D40" i="3"/>
  <c r="I39" i="3" s="1"/>
  <c r="B41" i="3"/>
  <c r="G38" i="3" s="1"/>
  <c r="C41" i="3"/>
  <c r="H38" i="3" s="1"/>
  <c r="D41" i="3"/>
  <c r="I38" i="3" s="1"/>
  <c r="B42" i="3"/>
  <c r="G37" i="3" s="1"/>
  <c r="C42" i="3"/>
  <c r="H37" i="3" s="1"/>
  <c r="D42" i="3"/>
  <c r="I37" i="3" s="1"/>
  <c r="B43" i="3"/>
  <c r="G36" i="3" s="1"/>
  <c r="C43" i="3"/>
  <c r="H36" i="3" s="1"/>
  <c r="D43" i="3"/>
  <c r="I36" i="3" s="1"/>
  <c r="B44" i="3"/>
  <c r="G35" i="3" s="1"/>
  <c r="C44" i="3"/>
  <c r="H35" i="3" s="1"/>
  <c r="D44" i="3"/>
  <c r="I35" i="3" s="1"/>
  <c r="B45" i="3"/>
  <c r="G34" i="3" s="1"/>
  <c r="C45" i="3"/>
  <c r="H34" i="3" s="1"/>
  <c r="D45" i="3"/>
  <c r="I34" i="3" s="1"/>
  <c r="B46" i="3"/>
  <c r="G33" i="3" s="1"/>
  <c r="C46" i="3"/>
  <c r="H33" i="3" s="1"/>
  <c r="D46" i="3"/>
  <c r="I33" i="3" s="1"/>
  <c r="B47" i="3"/>
  <c r="G32" i="3" s="1"/>
  <c r="C47" i="3"/>
  <c r="H32" i="3" s="1"/>
  <c r="D47" i="3"/>
  <c r="I32" i="3" s="1"/>
  <c r="B48" i="3"/>
  <c r="G31" i="3" s="1"/>
  <c r="C48" i="3"/>
  <c r="H31" i="3" s="1"/>
  <c r="D48" i="3"/>
  <c r="I31" i="3" s="1"/>
  <c r="B49" i="3"/>
  <c r="G30" i="3" s="1"/>
  <c r="C49" i="3"/>
  <c r="H30" i="3" s="1"/>
  <c r="D49" i="3"/>
  <c r="I30" i="3" s="1"/>
  <c r="B50" i="3"/>
  <c r="G29" i="3" s="1"/>
  <c r="C50" i="3"/>
  <c r="H29" i="3" s="1"/>
  <c r="D50" i="3"/>
  <c r="I29" i="3" s="1"/>
  <c r="B51" i="3"/>
  <c r="G28" i="3" s="1"/>
  <c r="C51" i="3"/>
  <c r="H28" i="3" s="1"/>
  <c r="D51" i="3"/>
  <c r="I28" i="3" s="1"/>
  <c r="B52" i="3"/>
  <c r="G27" i="3" s="1"/>
  <c r="C52" i="3"/>
  <c r="H27" i="3" s="1"/>
  <c r="D52" i="3"/>
  <c r="I27" i="3" s="1"/>
  <c r="B53" i="3"/>
  <c r="G26" i="3" s="1"/>
  <c r="C53" i="3"/>
  <c r="H26" i="3" s="1"/>
  <c r="D53" i="3"/>
  <c r="I26" i="3" s="1"/>
  <c r="B25" i="3"/>
  <c r="C25" i="3"/>
  <c r="H54" i="3" s="1"/>
  <c r="AB67" i="18" l="1"/>
  <c r="AB66" i="18"/>
  <c r="J39" i="4"/>
  <c r="I39" i="4"/>
  <c r="L39" i="4"/>
  <c r="M39" i="4"/>
  <c r="L41" i="4"/>
  <c r="J41" i="4"/>
  <c r="M41" i="4"/>
  <c r="I41" i="4"/>
  <c r="M40" i="4"/>
  <c r="J40" i="4"/>
  <c r="I40" i="4"/>
  <c r="L40" i="4"/>
  <c r="AB72" i="18"/>
  <c r="AB73" i="18" s="1"/>
  <c r="AC67" i="24"/>
  <c r="AC66" i="24"/>
  <c r="AB72" i="26"/>
  <c r="AB73" i="26" s="1"/>
  <c r="AC67" i="26" s="1"/>
  <c r="AA70" i="18"/>
  <c r="AA71" i="18" s="1"/>
  <c r="AB63" i="18" s="1"/>
  <c r="AA70" i="16"/>
  <c r="AA71" i="16" s="1"/>
  <c r="AA75" i="16" s="1"/>
  <c r="AC66" i="16"/>
  <c r="AC67" i="16"/>
  <c r="AA75" i="26"/>
  <c r="AB64" i="26"/>
  <c r="AB63" i="26"/>
  <c r="AB62" i="26"/>
  <c r="AB61" i="26"/>
  <c r="AB60" i="26"/>
  <c r="AB59" i="26"/>
  <c r="AA75" i="24"/>
  <c r="AB60" i="24"/>
  <c r="AB61" i="24"/>
  <c r="AB64" i="24"/>
  <c r="AB62" i="24"/>
  <c r="AB59" i="24"/>
  <c r="AC17" i="1"/>
  <c r="AC16" i="1"/>
  <c r="AC26" i="1"/>
  <c r="AC30" i="1"/>
  <c r="AC27" i="1"/>
  <c r="AC18" i="1"/>
  <c r="AC28" i="1"/>
  <c r="AC25" i="1"/>
  <c r="AC29" i="1"/>
  <c r="G54" i="3"/>
  <c r="D12" i="3"/>
  <c r="J4" i="3"/>
  <c r="J15" i="3"/>
  <c r="J19" i="3"/>
  <c r="J7" i="3"/>
  <c r="D7" i="3"/>
  <c r="J18" i="3"/>
  <c r="J14" i="3"/>
  <c r="J10" i="3"/>
  <c r="J6" i="3"/>
  <c r="J11" i="3"/>
  <c r="J3" i="3"/>
  <c r="J17" i="3"/>
  <c r="J13" i="3"/>
  <c r="J9" i="3"/>
  <c r="J5" i="3"/>
  <c r="J20" i="3"/>
  <c r="J16" i="3"/>
  <c r="J12" i="3"/>
  <c r="J8" i="3"/>
  <c r="I28" i="4"/>
  <c r="I27" i="4"/>
  <c r="D8" i="3"/>
  <c r="D16" i="3"/>
  <c r="D9" i="3"/>
  <c r="D14" i="3"/>
  <c r="D15" i="3"/>
  <c r="D17" i="3"/>
  <c r="D13" i="3"/>
  <c r="AC68" i="18" l="1"/>
  <c r="AC66" i="18"/>
  <c r="AC67" i="18"/>
  <c r="AC72" i="24"/>
  <c r="AC73" i="24" s="1"/>
  <c r="AD67" i="24" s="1"/>
  <c r="AB62" i="18"/>
  <c r="AB59" i="18"/>
  <c r="AB61" i="18"/>
  <c r="AB60" i="18"/>
  <c r="AB64" i="18"/>
  <c r="AA75" i="18"/>
  <c r="AC66" i="26"/>
  <c r="AC68" i="26"/>
  <c r="AB60" i="16"/>
  <c r="AB61" i="16"/>
  <c r="AB64" i="16"/>
  <c r="AB62" i="16"/>
  <c r="AB59" i="16"/>
  <c r="AB63" i="16"/>
  <c r="AC72" i="16"/>
  <c r="AC73" i="16" s="1"/>
  <c r="AD68" i="16" s="1"/>
  <c r="D45" i="23"/>
  <c r="E45" i="23" s="1"/>
  <c r="D45" i="17"/>
  <c r="E45" i="17" s="1"/>
  <c r="D45" i="25"/>
  <c r="E45" i="25" s="1"/>
  <c r="U28" i="25"/>
  <c r="U28" i="23"/>
  <c r="U28" i="17"/>
  <c r="E95" i="23"/>
  <c r="E95" i="17"/>
  <c r="E95" i="25"/>
  <c r="E94" i="23"/>
  <c r="E94" i="17"/>
  <c r="E94" i="25"/>
  <c r="D44" i="23"/>
  <c r="E44" i="23" s="1"/>
  <c r="D44" i="17"/>
  <c r="E44" i="17" s="1"/>
  <c r="D44" i="25"/>
  <c r="E44" i="25" s="1"/>
  <c r="U27" i="23"/>
  <c r="U27" i="25"/>
  <c r="U27" i="17"/>
  <c r="E99" i="23"/>
  <c r="E99" i="17"/>
  <c r="E99" i="25"/>
  <c r="E91" i="23"/>
  <c r="E91" i="17"/>
  <c r="E91" i="25"/>
  <c r="E88" i="23"/>
  <c r="E88" i="17"/>
  <c r="E88" i="25"/>
  <c r="D47" i="25"/>
  <c r="E47" i="25" s="1"/>
  <c r="D47" i="17"/>
  <c r="E47" i="17" s="1"/>
  <c r="D47" i="23"/>
  <c r="E47" i="23" s="1"/>
  <c r="U30" i="23"/>
  <c r="U30" i="25"/>
  <c r="U30" i="17"/>
  <c r="E100" i="23"/>
  <c r="E100" i="17"/>
  <c r="E100" i="25"/>
  <c r="E93" i="25"/>
  <c r="E93" i="17"/>
  <c r="E93" i="23"/>
  <c r="E101" i="25"/>
  <c r="E101" i="23"/>
  <c r="E101" i="17"/>
  <c r="E98" i="25"/>
  <c r="E98" i="23"/>
  <c r="E98" i="17"/>
  <c r="E89" i="25"/>
  <c r="E89" i="23"/>
  <c r="E89" i="17"/>
  <c r="E97" i="25"/>
  <c r="E97" i="23"/>
  <c r="E97" i="17"/>
  <c r="E103" i="23"/>
  <c r="E103" i="17"/>
  <c r="E103" i="25"/>
  <c r="D49" i="23"/>
  <c r="E49" i="23" s="1"/>
  <c r="D49" i="17"/>
  <c r="E49" i="17" s="1"/>
  <c r="D49" i="25"/>
  <c r="E49" i="25" s="1"/>
  <c r="U32" i="25"/>
  <c r="U32" i="23"/>
  <c r="U32" i="17"/>
  <c r="D48" i="23"/>
  <c r="E48" i="23" s="1"/>
  <c r="D48" i="17"/>
  <c r="E48" i="17" s="1"/>
  <c r="D48" i="25"/>
  <c r="E48" i="25" s="1"/>
  <c r="U31" i="25"/>
  <c r="U31" i="23"/>
  <c r="U31" i="17"/>
  <c r="E105" i="25"/>
  <c r="E105" i="17"/>
  <c r="E105" i="23"/>
  <c r="E90" i="25"/>
  <c r="E90" i="23"/>
  <c r="E90" i="17"/>
  <c r="D46" i="23"/>
  <c r="E46" i="23" s="1"/>
  <c r="D46" i="17"/>
  <c r="E46" i="17" s="1"/>
  <c r="D46" i="25"/>
  <c r="E46" i="25" s="1"/>
  <c r="U29" i="25"/>
  <c r="U29" i="23"/>
  <c r="U29" i="17"/>
  <c r="E96" i="23"/>
  <c r="E96" i="17"/>
  <c r="E96" i="25"/>
  <c r="E92" i="23"/>
  <c r="E92" i="17"/>
  <c r="E92" i="25"/>
  <c r="E104" i="23"/>
  <c r="E104" i="17"/>
  <c r="E104" i="25"/>
  <c r="E102" i="25"/>
  <c r="E102" i="23"/>
  <c r="E102" i="17"/>
  <c r="AB70" i="26"/>
  <c r="AB71" i="26" s="1"/>
  <c r="AB70" i="24"/>
  <c r="AB71" i="24" s="1"/>
  <c r="AC64" i="24" s="1"/>
  <c r="Y25" i="1"/>
  <c r="E93" i="4"/>
  <c r="E90" i="4"/>
  <c r="Y30" i="1"/>
  <c r="E95" i="4"/>
  <c r="E101" i="4"/>
  <c r="E89" i="4"/>
  <c r="Y28" i="1"/>
  <c r="Y29" i="1"/>
  <c r="E99" i="4"/>
  <c r="E97" i="4"/>
  <c r="E104" i="4"/>
  <c r="Y16" i="1"/>
  <c r="E102" i="4"/>
  <c r="Y26" i="1"/>
  <c r="E96" i="4"/>
  <c r="E88" i="4"/>
  <c r="Y18" i="1"/>
  <c r="E92" i="4"/>
  <c r="E98" i="4"/>
  <c r="Y27" i="1"/>
  <c r="Y17" i="1"/>
  <c r="E100" i="4"/>
  <c r="E105" i="4"/>
  <c r="E91" i="4"/>
  <c r="E94" i="4"/>
  <c r="E103" i="4"/>
  <c r="U29" i="4"/>
  <c r="D46" i="4"/>
  <c r="E46" i="4" s="1"/>
  <c r="D49" i="4"/>
  <c r="E49" i="4" s="1"/>
  <c r="U32" i="4"/>
  <c r="D44" i="4"/>
  <c r="E44" i="4" s="1"/>
  <c r="U27" i="4"/>
  <c r="U28" i="4"/>
  <c r="D45" i="4"/>
  <c r="E45" i="4" s="1"/>
  <c r="D4" i="3"/>
  <c r="D39" i="4" s="1"/>
  <c r="U30" i="4"/>
  <c r="D47" i="4"/>
  <c r="E47" i="4" s="1"/>
  <c r="M59" i="4" s="1"/>
  <c r="D48" i="4"/>
  <c r="E48" i="4" s="1"/>
  <c r="N60" i="4" s="1"/>
  <c r="U31" i="4"/>
  <c r="N39" i="4" l="1"/>
  <c r="K39" i="4"/>
  <c r="AB70" i="18"/>
  <c r="AB71" i="18" s="1"/>
  <c r="AB75" i="18" s="1"/>
  <c r="AC72" i="18"/>
  <c r="AC73" i="18" s="1"/>
  <c r="AD68" i="24"/>
  <c r="AD66" i="24"/>
  <c r="AB70" i="16"/>
  <c r="AB71" i="16" s="1"/>
  <c r="AC62" i="16" s="1"/>
  <c r="AC72" i="26"/>
  <c r="AC73" i="26" s="1"/>
  <c r="AD66" i="26" s="1"/>
  <c r="AD67" i="16"/>
  <c r="AD66" i="16"/>
  <c r="Y7" i="1"/>
  <c r="C27" i="25"/>
  <c r="C28" i="25" s="1"/>
  <c r="G78" i="23"/>
  <c r="C27" i="23"/>
  <c r="C28" i="23" s="1"/>
  <c r="G78" i="25"/>
  <c r="C27" i="17"/>
  <c r="C28" i="17" s="1"/>
  <c r="G78" i="17"/>
  <c r="D39" i="23"/>
  <c r="N60" i="25"/>
  <c r="G48" i="25"/>
  <c r="M60" i="25"/>
  <c r="G49" i="23"/>
  <c r="M61" i="23"/>
  <c r="N61" i="23"/>
  <c r="D41" i="23"/>
  <c r="D40" i="25"/>
  <c r="R27" i="23"/>
  <c r="M60" i="17"/>
  <c r="N60" i="17"/>
  <c r="G48" i="17"/>
  <c r="M28" i="17"/>
  <c r="D40" i="17"/>
  <c r="G45" i="25"/>
  <c r="N57" i="25"/>
  <c r="M57" i="25"/>
  <c r="D39" i="25"/>
  <c r="M27" i="17"/>
  <c r="M58" i="23"/>
  <c r="G46" i="23"/>
  <c r="N58" i="23"/>
  <c r="N60" i="23"/>
  <c r="M60" i="23"/>
  <c r="G48" i="23"/>
  <c r="N61" i="25"/>
  <c r="G49" i="25"/>
  <c r="M61" i="25"/>
  <c r="M28" i="23"/>
  <c r="D40" i="23"/>
  <c r="G47" i="23"/>
  <c r="M59" i="23"/>
  <c r="N59" i="23"/>
  <c r="R27" i="17"/>
  <c r="M56" i="17"/>
  <c r="N56" i="17"/>
  <c r="G44" i="17"/>
  <c r="M57" i="17"/>
  <c r="G45" i="17"/>
  <c r="N57" i="17"/>
  <c r="N58" i="25"/>
  <c r="G46" i="25"/>
  <c r="M58" i="25"/>
  <c r="G47" i="25"/>
  <c r="M59" i="25"/>
  <c r="N59" i="25"/>
  <c r="M27" i="23"/>
  <c r="M58" i="17"/>
  <c r="G46" i="17"/>
  <c r="N58" i="17"/>
  <c r="D41" i="25"/>
  <c r="N56" i="25"/>
  <c r="G44" i="25"/>
  <c r="M56" i="25"/>
  <c r="D39" i="17"/>
  <c r="M27" i="25"/>
  <c r="N61" i="17"/>
  <c r="M61" i="17"/>
  <c r="G49" i="17"/>
  <c r="D41" i="17"/>
  <c r="M28" i="25"/>
  <c r="M59" i="17"/>
  <c r="G47" i="17"/>
  <c r="N59" i="17"/>
  <c r="R27" i="25"/>
  <c r="M56" i="23"/>
  <c r="G44" i="23"/>
  <c r="N56" i="23"/>
  <c r="N57" i="23"/>
  <c r="M57" i="23"/>
  <c r="G45" i="23"/>
  <c r="AB75" i="26"/>
  <c r="AC64" i="26"/>
  <c r="AC63" i="26"/>
  <c r="AC62" i="26"/>
  <c r="AC59" i="26"/>
  <c r="AC60" i="26"/>
  <c r="AC61" i="26"/>
  <c r="AC61" i="24"/>
  <c r="AC62" i="24"/>
  <c r="AC59" i="24"/>
  <c r="AC63" i="24"/>
  <c r="AB75" i="24"/>
  <c r="AC60" i="24"/>
  <c r="AC61" i="18"/>
  <c r="M27" i="4"/>
  <c r="G78" i="4"/>
  <c r="G49" i="4"/>
  <c r="M61" i="4"/>
  <c r="M28" i="4"/>
  <c r="R27" i="4"/>
  <c r="N59" i="4"/>
  <c r="D41" i="4"/>
  <c r="N61" i="4"/>
  <c r="C27" i="4"/>
  <c r="G47" i="4"/>
  <c r="G44" i="4"/>
  <c r="M56" i="4"/>
  <c r="N56" i="4"/>
  <c r="D40" i="4"/>
  <c r="G45" i="4"/>
  <c r="M57" i="4"/>
  <c r="N57" i="4"/>
  <c r="G46" i="4"/>
  <c r="N58" i="4"/>
  <c r="M58" i="4"/>
  <c r="G48" i="4"/>
  <c r="M60" i="4"/>
  <c r="AC64" i="18" l="1"/>
  <c r="K40" i="17"/>
  <c r="N40" i="17"/>
  <c r="C58" i="4"/>
  <c r="K40" i="4"/>
  <c r="N40" i="4"/>
  <c r="N41" i="4"/>
  <c r="K41" i="4"/>
  <c r="N41" i="17"/>
  <c r="K41" i="17"/>
  <c r="N40" i="25"/>
  <c r="K40" i="25"/>
  <c r="K39" i="25"/>
  <c r="N39" i="25"/>
  <c r="N39" i="17"/>
  <c r="K39" i="17"/>
  <c r="K41" i="25"/>
  <c r="N41" i="25"/>
  <c r="C29" i="4"/>
  <c r="C28" i="4"/>
  <c r="X2" i="9" s="1"/>
  <c r="AC63" i="18"/>
  <c r="AC60" i="18"/>
  <c r="AB75" i="16"/>
  <c r="AC62" i="18"/>
  <c r="AC59" i="18"/>
  <c r="AD67" i="18"/>
  <c r="AD68" i="18"/>
  <c r="AD66" i="18"/>
  <c r="AD72" i="24"/>
  <c r="AD73" i="24" s="1"/>
  <c r="AE66" i="24" s="1"/>
  <c r="M62" i="23"/>
  <c r="Q57" i="23" s="1"/>
  <c r="AC60" i="16"/>
  <c r="AC61" i="16"/>
  <c r="AC64" i="16"/>
  <c r="AC63" i="16"/>
  <c r="AC59" i="16"/>
  <c r="AD68" i="26"/>
  <c r="AD67" i="26"/>
  <c r="AD72" i="16"/>
  <c r="AD73" i="16" s="1"/>
  <c r="N27" i="25"/>
  <c r="G29" i="25" s="1"/>
  <c r="G30" i="25" s="1"/>
  <c r="M5" i="9" s="1"/>
  <c r="N62" i="25"/>
  <c r="Q58" i="25" s="1"/>
  <c r="N62" i="23"/>
  <c r="Q58" i="23" s="1"/>
  <c r="M62" i="17"/>
  <c r="Q57" i="17" s="1"/>
  <c r="M62" i="25"/>
  <c r="Q57" i="25" s="1"/>
  <c r="N27" i="17"/>
  <c r="O27" i="17" s="1"/>
  <c r="Z4" i="9"/>
  <c r="Z5" i="9"/>
  <c r="Z3" i="9"/>
  <c r="F41" i="17"/>
  <c r="D59" i="17"/>
  <c r="C59" i="17"/>
  <c r="N62" i="17"/>
  <c r="C29" i="23"/>
  <c r="X3" i="9"/>
  <c r="F39" i="17"/>
  <c r="C57" i="17"/>
  <c r="D57" i="17"/>
  <c r="D59" i="25"/>
  <c r="F41" i="25"/>
  <c r="C59" i="25"/>
  <c r="N28" i="23"/>
  <c r="N27" i="23"/>
  <c r="M64" i="17"/>
  <c r="M63" i="17"/>
  <c r="G80" i="17"/>
  <c r="R28" i="17"/>
  <c r="Y4" i="9" s="1"/>
  <c r="N64" i="25"/>
  <c r="N63" i="25"/>
  <c r="F39" i="25"/>
  <c r="D57" i="25"/>
  <c r="C57" i="25"/>
  <c r="F40" i="17"/>
  <c r="C58" i="17"/>
  <c r="D58" i="17"/>
  <c r="N64" i="23"/>
  <c r="N63" i="23"/>
  <c r="X4" i="9"/>
  <c r="C29" i="17"/>
  <c r="X5" i="9"/>
  <c r="C29" i="25"/>
  <c r="M64" i="25"/>
  <c r="M63" i="25"/>
  <c r="C58" i="25"/>
  <c r="D58" i="25"/>
  <c r="F40" i="25"/>
  <c r="R28" i="25"/>
  <c r="Y5" i="9" s="1"/>
  <c r="G80" i="25"/>
  <c r="N28" i="25"/>
  <c r="N63" i="17"/>
  <c r="N64" i="17"/>
  <c r="N28" i="17"/>
  <c r="R28" i="23"/>
  <c r="Y3" i="9" s="1"/>
  <c r="G80" i="23"/>
  <c r="M64" i="23"/>
  <c r="M63" i="23"/>
  <c r="AC70" i="24"/>
  <c r="AC71" i="24" s="1"/>
  <c r="AC75" i="24" s="1"/>
  <c r="AC70" i="26"/>
  <c r="AC71" i="26" s="1"/>
  <c r="AC75" i="26" s="1"/>
  <c r="Z2" i="9"/>
  <c r="M63" i="4"/>
  <c r="M64" i="4"/>
  <c r="N27" i="4"/>
  <c r="G29" i="4" s="1"/>
  <c r="G30" i="4" s="1"/>
  <c r="M2" i="9" s="1"/>
  <c r="N28" i="4"/>
  <c r="C57" i="4"/>
  <c r="R28" i="4"/>
  <c r="Y2" i="9" s="1"/>
  <c r="G80" i="4"/>
  <c r="C59" i="4"/>
  <c r="D59" i="4"/>
  <c r="F41" i="4"/>
  <c r="M62" i="4"/>
  <c r="Q57" i="4" s="1"/>
  <c r="N62" i="4"/>
  <c r="N64" i="4"/>
  <c r="N63" i="4"/>
  <c r="D58" i="4"/>
  <c r="F40" i="4"/>
  <c r="D57" i="4"/>
  <c r="F39" i="4"/>
  <c r="K42" i="25" l="1"/>
  <c r="G79" i="25" s="1"/>
  <c r="G81" i="25" s="1"/>
  <c r="S5" i="9" s="1"/>
  <c r="K42" i="17"/>
  <c r="G79" i="17" s="1"/>
  <c r="K42" i="4"/>
  <c r="G79" i="4" s="1"/>
  <c r="G81" i="4" s="1"/>
  <c r="AC70" i="18"/>
  <c r="AC71" i="18" s="1"/>
  <c r="AD60" i="18" s="1"/>
  <c r="AD72" i="18"/>
  <c r="AD73" i="18" s="1"/>
  <c r="AE67" i="18" s="1"/>
  <c r="AD72" i="26"/>
  <c r="AD73" i="26" s="1"/>
  <c r="AE67" i="26" s="1"/>
  <c r="AE68" i="24"/>
  <c r="AE67" i="24"/>
  <c r="AC70" i="16"/>
  <c r="AC71" i="16" s="1"/>
  <c r="AD59" i="16" s="1"/>
  <c r="AE67" i="16"/>
  <c r="AE68" i="16"/>
  <c r="AE66" i="16"/>
  <c r="O27" i="25"/>
  <c r="S57" i="17"/>
  <c r="G29" i="17"/>
  <c r="G30" i="17" s="1"/>
  <c r="M4" i="9" s="1"/>
  <c r="E25" i="15" s="1"/>
  <c r="S57" i="25"/>
  <c r="S57" i="23"/>
  <c r="N5" i="9"/>
  <c r="N3" i="9"/>
  <c r="C62" i="17"/>
  <c r="C62" i="25"/>
  <c r="C60" i="17"/>
  <c r="H57" i="17" s="1"/>
  <c r="V57" i="17" s="1"/>
  <c r="C60" i="25"/>
  <c r="H57" i="25" s="1"/>
  <c r="V57" i="25" s="1"/>
  <c r="D60" i="17"/>
  <c r="H58" i="17" s="1"/>
  <c r="S58" i="23"/>
  <c r="G81" i="17"/>
  <c r="S4" i="9" s="1"/>
  <c r="S58" i="25"/>
  <c r="L3" i="9"/>
  <c r="L5" i="9"/>
  <c r="L4" i="9"/>
  <c r="N4" i="9"/>
  <c r="D60" i="25"/>
  <c r="C61" i="25"/>
  <c r="C61" i="17"/>
  <c r="D62" i="25"/>
  <c r="S58" i="17"/>
  <c r="Q58" i="17"/>
  <c r="D62" i="17"/>
  <c r="AD61" i="24"/>
  <c r="AD62" i="24"/>
  <c r="AD63" i="24"/>
  <c r="AD60" i="24"/>
  <c r="AD64" i="24"/>
  <c r="AD59" i="24"/>
  <c r="AD59" i="26"/>
  <c r="AD62" i="26"/>
  <c r="AD64" i="26"/>
  <c r="AD60" i="26"/>
  <c r="AD63" i="26"/>
  <c r="AD61" i="26"/>
  <c r="E31" i="15"/>
  <c r="B30" i="15"/>
  <c r="B18" i="15"/>
  <c r="E19" i="15"/>
  <c r="L2" i="9"/>
  <c r="N2" i="9"/>
  <c r="C62" i="4"/>
  <c r="S57" i="4"/>
  <c r="C61" i="4"/>
  <c r="Q58" i="4"/>
  <c r="S58" i="4"/>
  <c r="C60" i="4"/>
  <c r="O27" i="4"/>
  <c r="D62" i="4"/>
  <c r="D60" i="4"/>
  <c r="AD59" i="18" l="1"/>
  <c r="AD61" i="18"/>
  <c r="AD64" i="18"/>
  <c r="AD62" i="18"/>
  <c r="AD63" i="18"/>
  <c r="AC75" i="18"/>
  <c r="AE66" i="18"/>
  <c r="AE68" i="18"/>
  <c r="AE68" i="26"/>
  <c r="AE66" i="26"/>
  <c r="AE72" i="24"/>
  <c r="AE73" i="24" s="1"/>
  <c r="AF66" i="24" s="1"/>
  <c r="AD63" i="16"/>
  <c r="AC75" i="16"/>
  <c r="AD64" i="16"/>
  <c r="AD62" i="16"/>
  <c r="AD60" i="16"/>
  <c r="AD61" i="16"/>
  <c r="AE72" i="16"/>
  <c r="AE73" i="16" s="1"/>
  <c r="AD70" i="24"/>
  <c r="AD71" i="24" s="1"/>
  <c r="AE64" i="24" s="1"/>
  <c r="J57" i="25"/>
  <c r="X57" i="25" s="1"/>
  <c r="R71" i="25" s="1"/>
  <c r="R72" i="25" s="1"/>
  <c r="R73" i="25" s="1"/>
  <c r="J57" i="17"/>
  <c r="X57" i="17" s="1"/>
  <c r="N71" i="17" s="1"/>
  <c r="N72" i="17" s="1"/>
  <c r="N73" i="17" s="1"/>
  <c r="J58" i="17"/>
  <c r="X58" i="17" s="1"/>
  <c r="C83" i="17" s="1"/>
  <c r="R4" i="9" s="1"/>
  <c r="V58" i="17"/>
  <c r="C82" i="17" s="1"/>
  <c r="P4" i="9" s="1"/>
  <c r="G61" i="25"/>
  <c r="Q68" i="17"/>
  <c r="Q69" i="17" s="1"/>
  <c r="Q70" i="17" s="1"/>
  <c r="D68" i="17"/>
  <c r="D69" i="17" s="1"/>
  <c r="D70" i="17" s="1"/>
  <c r="K68" i="17"/>
  <c r="K69" i="17" s="1"/>
  <c r="C68" i="17"/>
  <c r="C69" i="17" s="1"/>
  <c r="E68" i="17"/>
  <c r="E69" i="17" s="1"/>
  <c r="M68" i="17"/>
  <c r="M69" i="17" s="1"/>
  <c r="M70" i="17" s="1"/>
  <c r="I68" i="17"/>
  <c r="I69" i="17" s="1"/>
  <c r="I70" i="17" s="1"/>
  <c r="R68" i="17"/>
  <c r="R69" i="17" s="1"/>
  <c r="R70" i="17" s="1"/>
  <c r="F68" i="17"/>
  <c r="F69" i="17" s="1"/>
  <c r="L68" i="17"/>
  <c r="L69" i="17" s="1"/>
  <c r="L70" i="17" s="1"/>
  <c r="P68" i="17"/>
  <c r="P69" i="17" s="1"/>
  <c r="P70" i="17" s="1"/>
  <c r="N68" i="17"/>
  <c r="N69" i="17" s="1"/>
  <c r="N70" i="17" s="1"/>
  <c r="J68" i="17"/>
  <c r="J69" i="17" s="1"/>
  <c r="J70" i="17" s="1"/>
  <c r="O68" i="17"/>
  <c r="O69" i="17" s="1"/>
  <c r="O70" i="17" s="1"/>
  <c r="G68" i="17"/>
  <c r="G69" i="17" s="1"/>
  <c r="G70" i="17" s="1"/>
  <c r="H68" i="17"/>
  <c r="H69" i="17" s="1"/>
  <c r="H70" i="17" s="1"/>
  <c r="G61" i="17"/>
  <c r="G68" i="25"/>
  <c r="G69" i="25" s="1"/>
  <c r="G70" i="25" s="1"/>
  <c r="P68" i="25"/>
  <c r="P69" i="25" s="1"/>
  <c r="P70" i="25" s="1"/>
  <c r="H68" i="25"/>
  <c r="H69" i="25" s="1"/>
  <c r="H70" i="25" s="1"/>
  <c r="L68" i="25"/>
  <c r="L69" i="25" s="1"/>
  <c r="L70" i="25" s="1"/>
  <c r="D68" i="25"/>
  <c r="D69" i="25" s="1"/>
  <c r="J68" i="25"/>
  <c r="J69" i="25" s="1"/>
  <c r="J70" i="25" s="1"/>
  <c r="R68" i="25"/>
  <c r="R69" i="25" s="1"/>
  <c r="R70" i="25" s="1"/>
  <c r="N68" i="25"/>
  <c r="N69" i="25" s="1"/>
  <c r="N70" i="25" s="1"/>
  <c r="F68" i="25"/>
  <c r="F69" i="25" s="1"/>
  <c r="K68" i="25"/>
  <c r="K69" i="25" s="1"/>
  <c r="K70" i="25" s="1"/>
  <c r="I68" i="25"/>
  <c r="I69" i="25" s="1"/>
  <c r="I70" i="25" s="1"/>
  <c r="Q68" i="25"/>
  <c r="Q69" i="25" s="1"/>
  <c r="Q70" i="25" s="1"/>
  <c r="M68" i="25"/>
  <c r="M69" i="25" s="1"/>
  <c r="M70" i="25" s="1"/>
  <c r="E68" i="25"/>
  <c r="E69" i="25" s="1"/>
  <c r="O68" i="25"/>
  <c r="O69" i="25" s="1"/>
  <c r="O70" i="25" s="1"/>
  <c r="C68" i="25"/>
  <c r="C69" i="25" s="1"/>
  <c r="J58" i="25"/>
  <c r="X58" i="25" s="1"/>
  <c r="C83" i="25" s="1"/>
  <c r="R5" i="9" s="1"/>
  <c r="H58" i="25"/>
  <c r="V58" i="25" s="1"/>
  <c r="C82" i="25" s="1"/>
  <c r="P5" i="9" s="1"/>
  <c r="AD70" i="26"/>
  <c r="AD71" i="26" s="1"/>
  <c r="AE63" i="26" s="1"/>
  <c r="Y32" i="1"/>
  <c r="Y11" i="1"/>
  <c r="H57" i="4"/>
  <c r="G61" i="4"/>
  <c r="J57" i="4"/>
  <c r="H58" i="4"/>
  <c r="V58" i="4" s="1"/>
  <c r="C82" i="4" s="1"/>
  <c r="J58" i="4"/>
  <c r="S2" i="9"/>
  <c r="AD70" i="18" l="1"/>
  <c r="AD71" i="18" s="1"/>
  <c r="AD75" i="18" s="1"/>
  <c r="AE72" i="26"/>
  <c r="AE73" i="26" s="1"/>
  <c r="AF68" i="26" s="1"/>
  <c r="AE72" i="18"/>
  <c r="AE73" i="18" s="1"/>
  <c r="AF67" i="24"/>
  <c r="AF68" i="24"/>
  <c r="AE59" i="24"/>
  <c r="AE59" i="18"/>
  <c r="AD70" i="16"/>
  <c r="AD71" i="16" s="1"/>
  <c r="AE60" i="16" s="1"/>
  <c r="F70" i="25"/>
  <c r="AE62" i="18"/>
  <c r="AF68" i="16"/>
  <c r="AF67" i="16"/>
  <c r="AF66" i="16"/>
  <c r="C70" i="17"/>
  <c r="C78" i="17" s="1"/>
  <c r="O4" i="9" s="1"/>
  <c r="AD75" i="24"/>
  <c r="AE60" i="24"/>
  <c r="AE62" i="24"/>
  <c r="AE63" i="24"/>
  <c r="AE61" i="24"/>
  <c r="E70" i="25"/>
  <c r="D70" i="25" s="1"/>
  <c r="C70" i="25" s="1"/>
  <c r="C78" i="25" s="1"/>
  <c r="L71" i="25"/>
  <c r="L72" i="25" s="1"/>
  <c r="L73" i="25" s="1"/>
  <c r="H71" i="17"/>
  <c r="H72" i="17" s="1"/>
  <c r="H73" i="17" s="1"/>
  <c r="N71" i="25"/>
  <c r="N72" i="25" s="1"/>
  <c r="N73" i="25" s="1"/>
  <c r="R71" i="17"/>
  <c r="R72" i="17" s="1"/>
  <c r="R73" i="17" s="1"/>
  <c r="K70" i="17"/>
  <c r="F70" i="17"/>
  <c r="E70" i="17" s="1"/>
  <c r="O71" i="25"/>
  <c r="O72" i="25" s="1"/>
  <c r="O73" i="25" s="1"/>
  <c r="I71" i="25"/>
  <c r="I72" i="25" s="1"/>
  <c r="I73" i="25" s="1"/>
  <c r="D71" i="25"/>
  <c r="D72" i="25" s="1"/>
  <c r="Q71" i="25"/>
  <c r="Q72" i="25" s="1"/>
  <c r="Q73" i="25" s="1"/>
  <c r="M71" i="25"/>
  <c r="M72" i="25" s="1"/>
  <c r="M73" i="25" s="1"/>
  <c r="C71" i="17"/>
  <c r="C72" i="17" s="1"/>
  <c r="H71" i="25"/>
  <c r="H72" i="25" s="1"/>
  <c r="H73" i="25" s="1"/>
  <c r="F71" i="25"/>
  <c r="F72" i="25" s="1"/>
  <c r="K71" i="25"/>
  <c r="K72" i="25" s="1"/>
  <c r="K73" i="25" s="1"/>
  <c r="P71" i="25"/>
  <c r="P72" i="25" s="1"/>
  <c r="P73" i="25" s="1"/>
  <c r="K71" i="17"/>
  <c r="K72" i="17" s="1"/>
  <c r="C71" i="25"/>
  <c r="C72" i="25" s="1"/>
  <c r="G71" i="25"/>
  <c r="G72" i="25" s="1"/>
  <c r="G73" i="25" s="1"/>
  <c r="J71" i="25"/>
  <c r="J72" i="25" s="1"/>
  <c r="J73" i="25" s="1"/>
  <c r="E71" i="25"/>
  <c r="E72" i="25" s="1"/>
  <c r="E73" i="25" s="1"/>
  <c r="L71" i="17"/>
  <c r="L72" i="17" s="1"/>
  <c r="L73" i="17" s="1"/>
  <c r="M71" i="17"/>
  <c r="M72" i="17" s="1"/>
  <c r="M73" i="17" s="1"/>
  <c r="P71" i="17"/>
  <c r="P72" i="17" s="1"/>
  <c r="P73" i="17" s="1"/>
  <c r="O71" i="17"/>
  <c r="O72" i="17" s="1"/>
  <c r="O73" i="17" s="1"/>
  <c r="I71" i="17"/>
  <c r="I72" i="17" s="1"/>
  <c r="I73" i="17" s="1"/>
  <c r="Q71" i="17"/>
  <c r="Q72" i="17" s="1"/>
  <c r="Q73" i="17" s="1"/>
  <c r="E71" i="17"/>
  <c r="E72" i="17" s="1"/>
  <c r="E73" i="17" s="1"/>
  <c r="G71" i="17"/>
  <c r="G72" i="17" s="1"/>
  <c r="G73" i="17" s="1"/>
  <c r="F71" i="17"/>
  <c r="F72" i="17" s="1"/>
  <c r="J71" i="17"/>
  <c r="J72" i="17" s="1"/>
  <c r="J73" i="17" s="1"/>
  <c r="D71" i="17"/>
  <c r="D72" i="17" s="1"/>
  <c r="D73" i="17" s="1"/>
  <c r="AE60" i="18"/>
  <c r="AE62" i="26"/>
  <c r="AE64" i="26"/>
  <c r="AE60" i="26"/>
  <c r="AD75" i="26"/>
  <c r="AE61" i="26"/>
  <c r="AE59" i="26"/>
  <c r="P2" i="9"/>
  <c r="X58" i="4"/>
  <c r="C83" i="4" s="1"/>
  <c r="AE64" i="18" l="1"/>
  <c r="AE63" i="18"/>
  <c r="AE61" i="18"/>
  <c r="AF67" i="26"/>
  <c r="AF66" i="26"/>
  <c r="AF67" i="18"/>
  <c r="AF68" i="18"/>
  <c r="AF66" i="18"/>
  <c r="O5" i="9"/>
  <c r="S74" i="25"/>
  <c r="S75" i="25" s="1"/>
  <c r="R74" i="25"/>
  <c r="R75" i="25" s="1"/>
  <c r="G74" i="25"/>
  <c r="G75" i="25" s="1"/>
  <c r="K74" i="25"/>
  <c r="K75" i="25" s="1"/>
  <c r="M74" i="25"/>
  <c r="M75" i="25" s="1"/>
  <c r="O74" i="25"/>
  <c r="O75" i="25" s="1"/>
  <c r="N74" i="25"/>
  <c r="N75" i="25" s="1"/>
  <c r="J74" i="25"/>
  <c r="J75" i="25" s="1"/>
  <c r="P74" i="25"/>
  <c r="P75" i="25" s="1"/>
  <c r="I74" i="25"/>
  <c r="I75" i="25" s="1"/>
  <c r="Q74" i="25"/>
  <c r="Q75" i="25" s="1"/>
  <c r="E74" i="25"/>
  <c r="H74" i="25"/>
  <c r="H75" i="25" s="1"/>
  <c r="L74" i="25"/>
  <c r="L75" i="25" s="1"/>
  <c r="E74" i="17"/>
  <c r="P74" i="17"/>
  <c r="P75" i="17" s="1"/>
  <c r="D74" i="17"/>
  <c r="D75" i="17" s="1"/>
  <c r="AF72" i="24"/>
  <c r="AF73" i="24" s="1"/>
  <c r="AG66" i="24" s="1"/>
  <c r="G74" i="17"/>
  <c r="G75" i="17" s="1"/>
  <c r="O74" i="17"/>
  <c r="O75" i="17" s="1"/>
  <c r="L74" i="17"/>
  <c r="L75" i="17" s="1"/>
  <c r="H74" i="17"/>
  <c r="H75" i="17" s="1"/>
  <c r="AE70" i="18"/>
  <c r="AE71" i="18" s="1"/>
  <c r="AF62" i="18" s="1"/>
  <c r="N74" i="17"/>
  <c r="N75" i="17" s="1"/>
  <c r="S74" i="17"/>
  <c r="S75" i="17" s="1"/>
  <c r="I74" i="17"/>
  <c r="I75" i="17" s="1"/>
  <c r="M74" i="17"/>
  <c r="M75" i="17" s="1"/>
  <c r="AE59" i="16"/>
  <c r="AE61" i="16"/>
  <c r="AE64" i="16"/>
  <c r="AE63" i="16"/>
  <c r="AD75" i="16"/>
  <c r="AE62" i="16"/>
  <c r="J74" i="17"/>
  <c r="Q74" i="17"/>
  <c r="Q75" i="17" s="1"/>
  <c r="R74" i="17"/>
  <c r="R75" i="17" s="1"/>
  <c r="AF72" i="16"/>
  <c r="AF73" i="16" s="1"/>
  <c r="AE70" i="24"/>
  <c r="AE71" i="24" s="1"/>
  <c r="AF63" i="24" s="1"/>
  <c r="D73" i="25"/>
  <c r="D74" i="25" s="1"/>
  <c r="D75" i="25" s="1"/>
  <c r="F73" i="17"/>
  <c r="F74" i="17" s="1"/>
  <c r="F75" i="17" s="1"/>
  <c r="F73" i="25"/>
  <c r="F74" i="25" s="1"/>
  <c r="F75" i="25" s="1"/>
  <c r="K73" i="17"/>
  <c r="K74" i="17" s="1"/>
  <c r="K75" i="17" s="1"/>
  <c r="C73" i="17"/>
  <c r="C74" i="17" s="1"/>
  <c r="C75" i="17" s="1"/>
  <c r="C79" i="17" s="1"/>
  <c r="Q4" i="9" s="1"/>
  <c r="AE70" i="26"/>
  <c r="AE71" i="26" s="1"/>
  <c r="AF64" i="26" s="1"/>
  <c r="R2" i="9"/>
  <c r="V57" i="4"/>
  <c r="X57" i="4"/>
  <c r="AC9" i="1"/>
  <c r="AF72" i="26" l="1"/>
  <c r="AF73" i="26" s="1"/>
  <c r="AG68" i="26" s="1"/>
  <c r="AF64" i="18"/>
  <c r="AF63" i="18"/>
  <c r="AE75" i="18"/>
  <c r="AF61" i="18"/>
  <c r="AF59" i="18"/>
  <c r="AF60" i="18"/>
  <c r="AG68" i="24"/>
  <c r="AF72" i="18"/>
  <c r="AF73" i="18" s="1"/>
  <c r="AG68" i="18" s="1"/>
  <c r="AG67" i="24"/>
  <c r="AF59" i="24"/>
  <c r="AE75" i="24"/>
  <c r="AF61" i="24"/>
  <c r="AF60" i="24"/>
  <c r="AF62" i="24"/>
  <c r="AF64" i="24"/>
  <c r="AE70" i="16"/>
  <c r="AE71" i="16" s="1"/>
  <c r="AF61" i="16" s="1"/>
  <c r="AG67" i="16"/>
  <c r="AG66" i="16"/>
  <c r="AG68" i="16"/>
  <c r="E75" i="25"/>
  <c r="AF61" i="26"/>
  <c r="AE75" i="26"/>
  <c r="J75" i="17"/>
  <c r="E75" i="17"/>
  <c r="C73" i="25"/>
  <c r="C74" i="25" s="1"/>
  <c r="C75" i="25" s="1"/>
  <c r="C79" i="25" s="1"/>
  <c r="Q5" i="9" s="1"/>
  <c r="AF62" i="26"/>
  <c r="AF59" i="26"/>
  <c r="AF63" i="26"/>
  <c r="AF60" i="26"/>
  <c r="C71" i="4"/>
  <c r="C72" i="4" s="1"/>
  <c r="E68" i="4"/>
  <c r="E69" i="4" s="1"/>
  <c r="C68" i="4"/>
  <c r="C69" i="4" s="1"/>
  <c r="D68" i="4"/>
  <c r="D69" i="4" s="1"/>
  <c r="N71" i="4"/>
  <c r="N72" i="4" s="1"/>
  <c r="N73" i="4" s="1"/>
  <c r="D71" i="4"/>
  <c r="D72" i="4" s="1"/>
  <c r="Q71" i="4"/>
  <c r="Q72" i="4" s="1"/>
  <c r="Q73" i="4" s="1"/>
  <c r="I71" i="4"/>
  <c r="I72" i="4" s="1"/>
  <c r="J71" i="4"/>
  <c r="J72" i="4" s="1"/>
  <c r="E71" i="4"/>
  <c r="E72" i="4" s="1"/>
  <c r="E73" i="4" s="1"/>
  <c r="R68" i="4"/>
  <c r="R69" i="4" s="1"/>
  <c r="R70" i="4" s="1"/>
  <c r="O68" i="4"/>
  <c r="O69" i="4" s="1"/>
  <c r="O70" i="4" s="1"/>
  <c r="P68" i="4"/>
  <c r="P69" i="4" s="1"/>
  <c r="P70" i="4" s="1"/>
  <c r="M68" i="4"/>
  <c r="M69" i="4" s="1"/>
  <c r="M70" i="4" s="1"/>
  <c r="I68" i="4"/>
  <c r="I69" i="4" s="1"/>
  <c r="G68" i="4"/>
  <c r="G69" i="4" s="1"/>
  <c r="G70" i="4" s="1"/>
  <c r="J68" i="4"/>
  <c r="J69" i="4" s="1"/>
  <c r="L68" i="4"/>
  <c r="L69" i="4" s="1"/>
  <c r="L70" i="4" s="1"/>
  <c r="F68" i="4"/>
  <c r="F69" i="4" s="1"/>
  <c r="F70" i="4" s="1"/>
  <c r="K68" i="4"/>
  <c r="K69" i="4" s="1"/>
  <c r="K70" i="4" s="1"/>
  <c r="N68" i="4"/>
  <c r="N69" i="4" s="1"/>
  <c r="N70" i="4" s="1"/>
  <c r="H68" i="4"/>
  <c r="H69" i="4" s="1"/>
  <c r="Q68" i="4"/>
  <c r="Q69" i="4" s="1"/>
  <c r="Q70" i="4" s="1"/>
  <c r="G71" i="4"/>
  <c r="G72" i="4" s="1"/>
  <c r="G73" i="4" s="1"/>
  <c r="F71" i="4"/>
  <c r="F72" i="4" s="1"/>
  <c r="F73" i="4" s="1"/>
  <c r="R71" i="4"/>
  <c r="R72" i="4" s="1"/>
  <c r="R73" i="4" s="1"/>
  <c r="O71" i="4"/>
  <c r="O72" i="4" s="1"/>
  <c r="O73" i="4" s="1"/>
  <c r="K71" i="4"/>
  <c r="K72" i="4" s="1"/>
  <c r="K73" i="4" s="1"/>
  <c r="H71" i="4"/>
  <c r="H72" i="4" s="1"/>
  <c r="H73" i="4" s="1"/>
  <c r="P71" i="4"/>
  <c r="P72" i="4" s="1"/>
  <c r="P73" i="4" s="1"/>
  <c r="M71" i="4"/>
  <c r="M72" i="4" s="1"/>
  <c r="M73" i="4" s="1"/>
  <c r="L71" i="4"/>
  <c r="L72" i="4" s="1"/>
  <c r="L73" i="4" s="1"/>
  <c r="AG67" i="26" l="1"/>
  <c r="AG66" i="26"/>
  <c r="AG72" i="26" s="1"/>
  <c r="AG73" i="26" s="1"/>
  <c r="AH66" i="26" s="1"/>
  <c r="AF70" i="18"/>
  <c r="AF71" i="18" s="1"/>
  <c r="AG64" i="18" s="1"/>
  <c r="AF63" i="16"/>
  <c r="AG72" i="24"/>
  <c r="AG73" i="24" s="1"/>
  <c r="AH67" i="24" s="1"/>
  <c r="AG67" i="18"/>
  <c r="AG66" i="18"/>
  <c r="AF70" i="24"/>
  <c r="AF71" i="24" s="1"/>
  <c r="AF75" i="24" s="1"/>
  <c r="AF62" i="16"/>
  <c r="AF60" i="16"/>
  <c r="AE75" i="16"/>
  <c r="AF59" i="16"/>
  <c r="AF64" i="16"/>
  <c r="AG72" i="16"/>
  <c r="AG73" i="16" s="1"/>
  <c r="AH68" i="16" s="1"/>
  <c r="E70" i="4"/>
  <c r="AF70" i="26"/>
  <c r="AF71" i="26" s="1"/>
  <c r="AF75" i="26" s="1"/>
  <c r="J73" i="4"/>
  <c r="I73" i="4" s="1"/>
  <c r="J70" i="4"/>
  <c r="I70" i="4" s="1"/>
  <c r="H70" i="4" s="1"/>
  <c r="D70" i="4"/>
  <c r="C70" i="4" s="1"/>
  <c r="C78" i="4" s="1"/>
  <c r="D73" i="4"/>
  <c r="C73" i="4" s="1"/>
  <c r="AH67" i="26" l="1"/>
  <c r="AG60" i="18"/>
  <c r="AG63" i="18"/>
  <c r="AG62" i="18"/>
  <c r="AH68" i="26"/>
  <c r="AG59" i="18"/>
  <c r="AG61" i="18"/>
  <c r="AF75" i="18"/>
  <c r="AG61" i="24"/>
  <c r="AG59" i="24"/>
  <c r="AH66" i="24"/>
  <c r="AH68" i="24"/>
  <c r="AG72" i="18"/>
  <c r="AG73" i="18" s="1"/>
  <c r="AG60" i="24"/>
  <c r="AG63" i="24"/>
  <c r="AG64" i="24"/>
  <c r="AG62" i="24"/>
  <c r="AF70" i="16"/>
  <c r="AF71" i="16" s="1"/>
  <c r="AF75" i="16" s="1"/>
  <c r="AH67" i="16"/>
  <c r="AH66" i="16"/>
  <c r="AH72" i="26"/>
  <c r="AH73" i="26" s="1"/>
  <c r="AI68" i="26" s="1"/>
  <c r="AG59" i="26"/>
  <c r="AG63" i="26"/>
  <c r="AG60" i="26"/>
  <c r="AG64" i="26"/>
  <c r="AG62" i="26"/>
  <c r="AG61" i="26"/>
  <c r="O2" i="9"/>
  <c r="O74" i="4"/>
  <c r="O75" i="4" s="1"/>
  <c r="K74" i="4"/>
  <c r="K75" i="4" s="1"/>
  <c r="P74" i="4"/>
  <c r="P75" i="4" s="1"/>
  <c r="N74" i="4"/>
  <c r="N75" i="4" s="1"/>
  <c r="Q74" i="4"/>
  <c r="Q75" i="4" s="1"/>
  <c r="G74" i="4"/>
  <c r="G75" i="4" s="1"/>
  <c r="E74" i="4"/>
  <c r="E75" i="4" s="1"/>
  <c r="S74" i="4"/>
  <c r="S75" i="4" s="1"/>
  <c r="M74" i="4"/>
  <c r="M75" i="4" s="1"/>
  <c r="I74" i="4"/>
  <c r="I75" i="4" s="1"/>
  <c r="H74" i="4"/>
  <c r="H75" i="4" s="1"/>
  <c r="R74" i="4"/>
  <c r="R75" i="4" s="1"/>
  <c r="F74" i="4"/>
  <c r="F75" i="4" s="1"/>
  <c r="L74" i="4"/>
  <c r="L75" i="4" s="1"/>
  <c r="J74" i="4"/>
  <c r="J75" i="4" s="1"/>
  <c r="C74" i="4"/>
  <c r="C75" i="4" s="1"/>
  <c r="D74" i="4"/>
  <c r="D75" i="4" s="1"/>
  <c r="AG70" i="18" l="1"/>
  <c r="AG71" i="18" s="1"/>
  <c r="AH59" i="18" s="1"/>
  <c r="AH72" i="24"/>
  <c r="AH73" i="24" s="1"/>
  <c r="AI67" i="24" s="1"/>
  <c r="AH68" i="18"/>
  <c r="AH66" i="18"/>
  <c r="AH67" i="18"/>
  <c r="AG70" i="24"/>
  <c r="AG71" i="24" s="1"/>
  <c r="AG75" i="24" s="1"/>
  <c r="AG64" i="16"/>
  <c r="AH72" i="16"/>
  <c r="AH73" i="16" s="1"/>
  <c r="AI66" i="16" s="1"/>
  <c r="AG61" i="16"/>
  <c r="AG60" i="16"/>
  <c r="AG59" i="16"/>
  <c r="AG62" i="16"/>
  <c r="AG63" i="16"/>
  <c r="AI67" i="26"/>
  <c r="AI66" i="26"/>
  <c r="AG70" i="26"/>
  <c r="AG71" i="26" s="1"/>
  <c r="AH64" i="26" s="1"/>
  <c r="C79" i="4"/>
  <c r="AH61" i="18" l="1"/>
  <c r="AH64" i="18"/>
  <c r="AH63" i="18"/>
  <c r="AH62" i="18"/>
  <c r="AH60" i="18"/>
  <c r="AG75" i="18"/>
  <c r="AH61" i="24"/>
  <c r="AH62" i="24"/>
  <c r="AI68" i="24"/>
  <c r="AH63" i="24"/>
  <c r="AI66" i="24"/>
  <c r="AH59" i="24"/>
  <c r="AH72" i="18"/>
  <c r="AH73" i="18" s="1"/>
  <c r="AI68" i="18" s="1"/>
  <c r="AI72" i="26"/>
  <c r="AI73" i="26" s="1"/>
  <c r="AJ68" i="26" s="1"/>
  <c r="AH64" i="24"/>
  <c r="AH60" i="24"/>
  <c r="AI67" i="16"/>
  <c r="AI68" i="16"/>
  <c r="AG70" i="16"/>
  <c r="AG71" i="16" s="1"/>
  <c r="AH60" i="16" s="1"/>
  <c r="AH60" i="26"/>
  <c r="AH59" i="26"/>
  <c r="AH63" i="26"/>
  <c r="AG75" i="26"/>
  <c r="AH62" i="26"/>
  <c r="AH61" i="26"/>
  <c r="Q2" i="9"/>
  <c r="AH70" i="18" l="1"/>
  <c r="AH71" i="18" s="1"/>
  <c r="AI60" i="18" s="1"/>
  <c r="AI72" i="24"/>
  <c r="AI73" i="24" s="1"/>
  <c r="AJ67" i="24" s="1"/>
  <c r="AH70" i="24"/>
  <c r="AH71" i="24" s="1"/>
  <c r="AH75" i="24" s="1"/>
  <c r="AI66" i="18"/>
  <c r="AI67" i="18"/>
  <c r="AJ67" i="26"/>
  <c r="AJ66" i="26"/>
  <c r="AI62" i="18"/>
  <c r="AI61" i="18"/>
  <c r="AI64" i="18"/>
  <c r="AH75" i="18"/>
  <c r="AI72" i="16"/>
  <c r="AI73" i="16" s="1"/>
  <c r="AJ66" i="16" s="1"/>
  <c r="AH59" i="16"/>
  <c r="AH62" i="16"/>
  <c r="AH64" i="16"/>
  <c r="AG75" i="16"/>
  <c r="AH61" i="16"/>
  <c r="AH63" i="16"/>
  <c r="AH70" i="26"/>
  <c r="AH71" i="26" s="1"/>
  <c r="AI64" i="26" s="1"/>
  <c r="AI60" i="24"/>
  <c r="AI63" i="18" l="1"/>
  <c r="AI59" i="18"/>
  <c r="AI70" i="18" s="1"/>
  <c r="AI71" i="18" s="1"/>
  <c r="AJ64" i="18" s="1"/>
  <c r="AJ66" i="24"/>
  <c r="AJ68" i="24"/>
  <c r="AI62" i="24"/>
  <c r="AI61" i="24"/>
  <c r="AI59" i="24"/>
  <c r="AI63" i="24"/>
  <c r="AI64" i="24"/>
  <c r="AI72" i="18"/>
  <c r="AI73" i="18" s="1"/>
  <c r="AJ72" i="26"/>
  <c r="AJ73" i="26" s="1"/>
  <c r="AK66" i="26" s="1"/>
  <c r="AJ72" i="24"/>
  <c r="AJ73" i="24" s="1"/>
  <c r="AJ68" i="16"/>
  <c r="AJ67" i="16"/>
  <c r="AH70" i="16"/>
  <c r="AH71" i="16" s="1"/>
  <c r="AI62" i="16" s="1"/>
  <c r="AI62" i="26"/>
  <c r="AI59" i="26"/>
  <c r="AI60" i="26"/>
  <c r="AI63" i="26"/>
  <c r="AI61" i="26"/>
  <c r="AH75" i="26"/>
  <c r="AI70" i="24" l="1"/>
  <c r="AI71" i="24" s="1"/>
  <c r="AJ62" i="24" s="1"/>
  <c r="AJ59" i="18"/>
  <c r="AJ60" i="18"/>
  <c r="AJ61" i="18"/>
  <c r="AJ63" i="18"/>
  <c r="AJ62" i="18"/>
  <c r="AJ68" i="18"/>
  <c r="AJ67" i="18"/>
  <c r="AJ66" i="18"/>
  <c r="AI75" i="18"/>
  <c r="AJ72" i="16"/>
  <c r="AJ73" i="16" s="1"/>
  <c r="AK68" i="16" s="1"/>
  <c r="AK68" i="26"/>
  <c r="AK67" i="26"/>
  <c r="AK68" i="24"/>
  <c r="AK67" i="24"/>
  <c r="AK66" i="24"/>
  <c r="AI60" i="16"/>
  <c r="AI61" i="16"/>
  <c r="AH75" i="16"/>
  <c r="AI59" i="16"/>
  <c r="AI63" i="16"/>
  <c r="AI64" i="16"/>
  <c r="AJ64" i="24"/>
  <c r="AI70" i="26"/>
  <c r="AI71" i="26" s="1"/>
  <c r="AI75" i="26" s="1"/>
  <c r="AJ60" i="24"/>
  <c r="AI75" i="24"/>
  <c r="AJ61" i="24"/>
  <c r="AJ59" i="24"/>
  <c r="AJ63" i="24" l="1"/>
  <c r="AJ70" i="18"/>
  <c r="AJ71" i="18" s="1"/>
  <c r="AK61" i="18" s="1"/>
  <c r="AK72" i="26"/>
  <c r="AK73" i="26" s="1"/>
  <c r="AL68" i="26" s="1"/>
  <c r="AJ72" i="18"/>
  <c r="AJ73" i="18" s="1"/>
  <c r="AK67" i="18" s="1"/>
  <c r="AK67" i="16"/>
  <c r="AK66" i="16"/>
  <c r="AK72" i="24"/>
  <c r="AK73" i="24" s="1"/>
  <c r="AL67" i="24" s="1"/>
  <c r="AI70" i="16"/>
  <c r="AI71" i="16" s="1"/>
  <c r="AJ62" i="16" s="1"/>
  <c r="AJ70" i="24"/>
  <c r="AJ71" i="24" s="1"/>
  <c r="AK60" i="24" s="1"/>
  <c r="AJ60" i="26"/>
  <c r="AJ64" i="26"/>
  <c r="AJ61" i="26"/>
  <c r="AJ63" i="26"/>
  <c r="AJ62" i="26"/>
  <c r="AJ59" i="26"/>
  <c r="AK62" i="18" l="1"/>
  <c r="AK60" i="18"/>
  <c r="AK59" i="18"/>
  <c r="AK63" i="18"/>
  <c r="AK64" i="18"/>
  <c r="AL67" i="26"/>
  <c r="AL66" i="26"/>
  <c r="AK68" i="18"/>
  <c r="AJ75" i="18"/>
  <c r="AK72" i="16"/>
  <c r="AK73" i="16" s="1"/>
  <c r="AL66" i="16" s="1"/>
  <c r="AK66" i="18"/>
  <c r="AL66" i="24"/>
  <c r="AL68" i="24"/>
  <c r="AK62" i="24"/>
  <c r="AK63" i="24"/>
  <c r="AK64" i="24"/>
  <c r="AK61" i="24"/>
  <c r="AJ75" i="24"/>
  <c r="AK59" i="24"/>
  <c r="AJ60" i="16"/>
  <c r="AJ59" i="16"/>
  <c r="AJ61" i="16"/>
  <c r="AJ64" i="16"/>
  <c r="AJ63" i="16"/>
  <c r="AI75" i="16"/>
  <c r="AJ70" i="26"/>
  <c r="AJ71" i="26" s="1"/>
  <c r="AK64" i="26" s="1"/>
  <c r="AK70" i="18" l="1"/>
  <c r="AK71" i="18" s="1"/>
  <c r="AL59" i="18" s="1"/>
  <c r="AL72" i="26"/>
  <c r="AL73" i="26" s="1"/>
  <c r="AM68" i="26" s="1"/>
  <c r="AK72" i="18"/>
  <c r="AK73" i="18" s="1"/>
  <c r="AL67" i="18" s="1"/>
  <c r="AL67" i="16"/>
  <c r="AL68" i="16"/>
  <c r="AL72" i="24"/>
  <c r="AL73" i="24" s="1"/>
  <c r="AM68" i="24" s="1"/>
  <c r="AK70" i="24"/>
  <c r="AK71" i="24" s="1"/>
  <c r="AL64" i="24" s="1"/>
  <c r="AJ70" i="16"/>
  <c r="AJ71" i="16" s="1"/>
  <c r="AK61" i="16" s="1"/>
  <c r="AK60" i="26"/>
  <c r="AK59" i="26"/>
  <c r="AJ75" i="26"/>
  <c r="AK63" i="26"/>
  <c r="AK62" i="26"/>
  <c r="AK61" i="26"/>
  <c r="AL63" i="18" l="1"/>
  <c r="AM67" i="26"/>
  <c r="AL60" i="18"/>
  <c r="AM66" i="26"/>
  <c r="AL64" i="18"/>
  <c r="AL62" i="18"/>
  <c r="AL61" i="18"/>
  <c r="AL68" i="18"/>
  <c r="AK75" i="18"/>
  <c r="AL72" i="16"/>
  <c r="AL73" i="16" s="1"/>
  <c r="AM66" i="16" s="1"/>
  <c r="AL66" i="18"/>
  <c r="AM67" i="24"/>
  <c r="AM66" i="24"/>
  <c r="AK75" i="24"/>
  <c r="AL60" i="24"/>
  <c r="AL61" i="24"/>
  <c r="AL63" i="24"/>
  <c r="AL62" i="24"/>
  <c r="AL59" i="24"/>
  <c r="AK63" i="16"/>
  <c r="AK59" i="16"/>
  <c r="AK60" i="16"/>
  <c r="AK62" i="16"/>
  <c r="AK64" i="16"/>
  <c r="AJ75" i="16"/>
  <c r="AK70" i="26"/>
  <c r="AK71" i="26" s="1"/>
  <c r="AK75" i="26" s="1"/>
  <c r="AM72" i="26" l="1"/>
  <c r="AM73" i="26" s="1"/>
  <c r="AN68" i="26" s="1"/>
  <c r="AL70" i="18"/>
  <c r="AL71" i="18" s="1"/>
  <c r="AM63" i="18" s="1"/>
  <c r="AL72" i="18"/>
  <c r="AL73" i="18" s="1"/>
  <c r="AM66" i="18" s="1"/>
  <c r="AM67" i="16"/>
  <c r="AM68" i="16"/>
  <c r="AM72" i="24"/>
  <c r="AM73" i="24" s="1"/>
  <c r="AN68" i="24" s="1"/>
  <c r="AL70" i="24"/>
  <c r="AL71" i="24" s="1"/>
  <c r="AM64" i="24" s="1"/>
  <c r="AK70" i="16"/>
  <c r="AK71" i="16" s="1"/>
  <c r="AL63" i="16" s="1"/>
  <c r="AN67" i="26"/>
  <c r="AL62" i="26"/>
  <c r="AL64" i="26"/>
  <c r="AL63" i="26"/>
  <c r="AL61" i="26"/>
  <c r="AL60" i="26"/>
  <c r="AL59" i="26"/>
  <c r="AN66" i="26" l="1"/>
  <c r="AM60" i="18"/>
  <c r="AM61" i="18"/>
  <c r="AM59" i="18"/>
  <c r="AM64" i="18"/>
  <c r="AM72" i="16"/>
  <c r="AM73" i="16" s="1"/>
  <c r="AN68" i="16" s="1"/>
  <c r="AM62" i="18"/>
  <c r="AM68" i="18"/>
  <c r="AM67" i="18"/>
  <c r="AL75" i="18"/>
  <c r="AN66" i="24"/>
  <c r="AN67" i="24"/>
  <c r="AM63" i="24"/>
  <c r="AN72" i="26"/>
  <c r="AN73" i="26" s="1"/>
  <c r="AO68" i="26" s="1"/>
  <c r="AM59" i="24"/>
  <c r="AM62" i="24"/>
  <c r="AM60" i="24"/>
  <c r="AM61" i="24"/>
  <c r="AL75" i="24"/>
  <c r="AL64" i="16"/>
  <c r="AK75" i="16"/>
  <c r="AL61" i="16"/>
  <c r="AL59" i="16"/>
  <c r="AL60" i="16"/>
  <c r="AL62" i="16"/>
  <c r="AL70" i="26"/>
  <c r="AL71" i="26" s="1"/>
  <c r="AL75" i="26" s="1"/>
  <c r="AN67" i="16" l="1"/>
  <c r="AN66" i="16"/>
  <c r="AM70" i="18"/>
  <c r="AM71" i="18" s="1"/>
  <c r="AN60" i="18" s="1"/>
  <c r="AM72" i="18"/>
  <c r="AM73" i="18" s="1"/>
  <c r="AN67" i="18" s="1"/>
  <c r="AN72" i="24"/>
  <c r="AN73" i="24" s="1"/>
  <c r="AO66" i="24" s="1"/>
  <c r="AM70" i="24"/>
  <c r="AM71" i="24" s="1"/>
  <c r="AN64" i="24" s="1"/>
  <c r="AO66" i="26"/>
  <c r="AO67" i="26"/>
  <c r="AL70" i="16"/>
  <c r="AL71" i="16" s="1"/>
  <c r="AM61" i="16" s="1"/>
  <c r="AM60" i="26"/>
  <c r="AM64" i="26"/>
  <c r="AM62" i="26"/>
  <c r="AM59" i="26"/>
  <c r="AM63" i="26"/>
  <c r="AM61" i="26"/>
  <c r="AN72" i="16" l="1"/>
  <c r="AN73" i="16" s="1"/>
  <c r="AO68" i="16" s="1"/>
  <c r="AN64" i="18"/>
  <c r="AN59" i="18"/>
  <c r="AN63" i="18"/>
  <c r="AN66" i="18"/>
  <c r="AN61" i="18"/>
  <c r="AN62" i="18"/>
  <c r="AN68" i="18"/>
  <c r="AM75" i="18"/>
  <c r="AO68" i="24"/>
  <c r="AO67" i="24"/>
  <c r="AO72" i="26"/>
  <c r="AO73" i="26" s="1"/>
  <c r="AP67" i="26" s="1"/>
  <c r="AN62" i="24"/>
  <c r="AN60" i="24"/>
  <c r="AM75" i="24"/>
  <c r="AN63" i="24"/>
  <c r="AN59" i="24"/>
  <c r="AN61" i="24"/>
  <c r="AL75" i="16"/>
  <c r="AM62" i="16"/>
  <c r="AM64" i="16"/>
  <c r="AM60" i="16"/>
  <c r="AM59" i="16"/>
  <c r="AM63" i="16"/>
  <c r="AM70" i="26"/>
  <c r="AM71" i="26" s="1"/>
  <c r="AN64" i="26" s="1"/>
  <c r="AO66" i="16" l="1"/>
  <c r="AO67" i="16"/>
  <c r="AN72" i="18"/>
  <c r="AN73" i="18" s="1"/>
  <c r="AO66" i="18" s="1"/>
  <c r="AN70" i="18"/>
  <c r="AN71" i="18" s="1"/>
  <c r="AO60" i="18" s="1"/>
  <c r="AO72" i="24"/>
  <c r="AO73" i="24" s="1"/>
  <c r="AP67" i="24" s="1"/>
  <c r="AP66" i="26"/>
  <c r="AP68" i="26"/>
  <c r="AN70" i="24"/>
  <c r="AN71" i="24" s="1"/>
  <c r="AO60" i="24" s="1"/>
  <c r="AM70" i="16"/>
  <c r="AM71" i="16" s="1"/>
  <c r="AN59" i="16" s="1"/>
  <c r="AN63" i="26"/>
  <c r="AN60" i="26"/>
  <c r="AN61" i="26"/>
  <c r="AN59" i="26"/>
  <c r="AN62" i="26"/>
  <c r="AM75" i="26"/>
  <c r="AO67" i="18" l="1"/>
  <c r="AO72" i="16"/>
  <c r="AO73" i="16" s="1"/>
  <c r="AO68" i="18"/>
  <c r="AO72" i="18" s="1"/>
  <c r="AO73" i="18" s="1"/>
  <c r="AP68" i="18" s="1"/>
  <c r="AO62" i="18"/>
  <c r="AO64" i="18"/>
  <c r="AO59" i="18"/>
  <c r="AN75" i="18"/>
  <c r="AO63" i="18"/>
  <c r="AO61" i="18"/>
  <c r="AO62" i="24"/>
  <c r="AO64" i="24"/>
  <c r="AO61" i="24"/>
  <c r="AP68" i="24"/>
  <c r="AP66" i="24"/>
  <c r="AN61" i="16"/>
  <c r="AN60" i="16"/>
  <c r="AM75" i="16"/>
  <c r="AP72" i="26"/>
  <c r="AP73" i="26" s="1"/>
  <c r="AQ67" i="26" s="1"/>
  <c r="AO63" i="24"/>
  <c r="AO59" i="24"/>
  <c r="AN75" i="24"/>
  <c r="AN63" i="16"/>
  <c r="AN62" i="16"/>
  <c r="AN64" i="16"/>
  <c r="AN70" i="26"/>
  <c r="AN71" i="26" s="1"/>
  <c r="AO63" i="26" s="1"/>
  <c r="AP68" i="16" l="1"/>
  <c r="AP66" i="16"/>
  <c r="AP67" i="16"/>
  <c r="AO70" i="18"/>
  <c r="AO71" i="18" s="1"/>
  <c r="AP64" i="18" s="1"/>
  <c r="AP67" i="18"/>
  <c r="AP66" i="18"/>
  <c r="AP72" i="24"/>
  <c r="AP73" i="24" s="1"/>
  <c r="AQ68" i="24" s="1"/>
  <c r="AQ66" i="26"/>
  <c r="AO70" i="24"/>
  <c r="AO71" i="24" s="1"/>
  <c r="AP61" i="24" s="1"/>
  <c r="AQ68" i="26"/>
  <c r="AN70" i="16"/>
  <c r="AN71" i="16" s="1"/>
  <c r="AO61" i="16" s="1"/>
  <c r="AO60" i="26"/>
  <c r="AO64" i="26"/>
  <c r="AN75" i="26"/>
  <c r="AO59" i="26"/>
  <c r="AO61" i="26"/>
  <c r="AO62" i="26"/>
  <c r="AP72" i="16" l="1"/>
  <c r="AP73" i="16" s="1"/>
  <c r="AQ66" i="16" s="1"/>
  <c r="AP62" i="18"/>
  <c r="AP72" i="18"/>
  <c r="AP73" i="18" s="1"/>
  <c r="AQ67" i="18" s="1"/>
  <c r="AP63" i="18"/>
  <c r="AP61" i="18"/>
  <c r="AP59" i="18"/>
  <c r="AO75" i="18"/>
  <c r="AP60" i="18"/>
  <c r="AQ68" i="18"/>
  <c r="AQ66" i="24"/>
  <c r="AQ72" i="26"/>
  <c r="AQ73" i="26" s="1"/>
  <c r="AR66" i="26" s="1"/>
  <c r="AQ67" i="24"/>
  <c r="AP64" i="24"/>
  <c r="AP60" i="24"/>
  <c r="AP59" i="24"/>
  <c r="AP63" i="24"/>
  <c r="AP62" i="24"/>
  <c r="AO75" i="24"/>
  <c r="AO62" i="16"/>
  <c r="AO59" i="16"/>
  <c r="AO60" i="16"/>
  <c r="AO64" i="16"/>
  <c r="AO63" i="16"/>
  <c r="AN75" i="16"/>
  <c r="AO70" i="26"/>
  <c r="AO71" i="26" s="1"/>
  <c r="AP61" i="26" s="1"/>
  <c r="AQ66" i="18" l="1"/>
  <c r="AP70" i="18"/>
  <c r="AP71" i="18" s="1"/>
  <c r="AQ63" i="18" s="1"/>
  <c r="AQ68" i="16"/>
  <c r="AQ67" i="16"/>
  <c r="AQ72" i="16" s="1"/>
  <c r="AQ73" i="16" s="1"/>
  <c r="AQ61" i="18"/>
  <c r="AQ62" i="18"/>
  <c r="AQ72" i="18"/>
  <c r="AQ73" i="18" s="1"/>
  <c r="AR68" i="18" s="1"/>
  <c r="AQ72" i="24"/>
  <c r="AQ73" i="24" s="1"/>
  <c r="AR68" i="24" s="1"/>
  <c r="AR67" i="26"/>
  <c r="AR68" i="26"/>
  <c r="AP70" i="24"/>
  <c r="AP71" i="24" s="1"/>
  <c r="AQ60" i="24" s="1"/>
  <c r="AO70" i="16"/>
  <c r="AO71" i="16" s="1"/>
  <c r="AP60" i="16" s="1"/>
  <c r="AP60" i="26"/>
  <c r="AP64" i="26"/>
  <c r="AP59" i="26"/>
  <c r="AP62" i="26"/>
  <c r="AP63" i="26"/>
  <c r="AO75" i="26"/>
  <c r="AR67" i="16" l="1"/>
  <c r="AR66" i="16"/>
  <c r="AR68" i="16"/>
  <c r="AQ60" i="18"/>
  <c r="AQ64" i="18"/>
  <c r="AQ59" i="18"/>
  <c r="AP75" i="18"/>
  <c r="AR66" i="24"/>
  <c r="AQ70" i="18"/>
  <c r="AQ71" i="18" s="1"/>
  <c r="AR61" i="18" s="1"/>
  <c r="AR67" i="24"/>
  <c r="AR72" i="26"/>
  <c r="AR73" i="26" s="1"/>
  <c r="AS67" i="26" s="1"/>
  <c r="AR66" i="18"/>
  <c r="AR67" i="18"/>
  <c r="AP59" i="16"/>
  <c r="AR72" i="24"/>
  <c r="AR73" i="24" s="1"/>
  <c r="AS67" i="24" s="1"/>
  <c r="AP63" i="16"/>
  <c r="AQ64" i="24"/>
  <c r="AQ63" i="24"/>
  <c r="AQ59" i="24"/>
  <c r="AQ62" i="24"/>
  <c r="AP75" i="24"/>
  <c r="AQ61" i="24"/>
  <c r="AP61" i="16"/>
  <c r="AP62" i="16"/>
  <c r="AO75" i="16"/>
  <c r="AP64" i="16"/>
  <c r="AP70" i="26"/>
  <c r="AP71" i="26" s="1"/>
  <c r="AP75" i="26" s="1"/>
  <c r="AR60" i="18"/>
  <c r="AR59" i="18"/>
  <c r="AR62" i="18"/>
  <c r="AQ75" i="18" l="1"/>
  <c r="AR64" i="18"/>
  <c r="AR63" i="18"/>
  <c r="AR72" i="16"/>
  <c r="AR73" i="16" s="1"/>
  <c r="AR72" i="18"/>
  <c r="AR73" i="18" s="1"/>
  <c r="AS67" i="18" s="1"/>
  <c r="AS68" i="26"/>
  <c r="AS66" i="26"/>
  <c r="AS68" i="24"/>
  <c r="AS66" i="24"/>
  <c r="AQ70" i="24"/>
  <c r="AQ71" i="24" s="1"/>
  <c r="AR64" i="24" s="1"/>
  <c r="AP70" i="16"/>
  <c r="AP71" i="16" s="1"/>
  <c r="AQ61" i="16" s="1"/>
  <c r="AQ61" i="26"/>
  <c r="AQ60" i="26"/>
  <c r="AQ63" i="26"/>
  <c r="AQ64" i="26"/>
  <c r="AQ62" i="26"/>
  <c r="AQ59" i="26"/>
  <c r="AR70" i="18"/>
  <c r="AR71" i="18" s="1"/>
  <c r="AR75" i="18" s="1"/>
  <c r="AS68" i="16" l="1"/>
  <c r="AS66" i="16"/>
  <c r="AS67" i="16"/>
  <c r="AS68" i="18"/>
  <c r="AS66" i="18"/>
  <c r="AR61" i="24"/>
  <c r="AS72" i="26"/>
  <c r="AS73" i="26" s="1"/>
  <c r="AT67" i="26" s="1"/>
  <c r="AR60" i="24"/>
  <c r="AP75" i="16"/>
  <c r="AS72" i="24"/>
  <c r="AS73" i="24" s="1"/>
  <c r="AT68" i="24" s="1"/>
  <c r="AQ64" i="16"/>
  <c r="AQ60" i="16"/>
  <c r="AQ63" i="16"/>
  <c r="AR63" i="24"/>
  <c r="AR62" i="24"/>
  <c r="AQ75" i="24"/>
  <c r="AR59" i="24"/>
  <c r="AQ59" i="16"/>
  <c r="AQ62" i="16"/>
  <c r="AQ70" i="26"/>
  <c r="AQ71" i="26" s="1"/>
  <c r="AR60" i="26" s="1"/>
  <c r="AS63" i="18"/>
  <c r="AS59" i="18"/>
  <c r="AS64" i="18"/>
  <c r="AS60" i="18"/>
  <c r="AS62" i="18"/>
  <c r="AS61" i="18"/>
  <c r="AS72" i="16" l="1"/>
  <c r="AS73" i="16" s="1"/>
  <c r="AS72" i="18"/>
  <c r="AS73" i="18" s="1"/>
  <c r="AT66" i="18" s="1"/>
  <c r="AR70" i="24"/>
  <c r="AR71" i="24" s="1"/>
  <c r="AS60" i="24" s="1"/>
  <c r="AT68" i="26"/>
  <c r="AT66" i="26"/>
  <c r="AT66" i="24"/>
  <c r="AT67" i="24"/>
  <c r="AQ70" i="16"/>
  <c r="AQ71" i="16" s="1"/>
  <c r="AR64" i="16" s="1"/>
  <c r="AR61" i="26"/>
  <c r="AQ75" i="26"/>
  <c r="AR64" i="26"/>
  <c r="AR59" i="26"/>
  <c r="AR62" i="26"/>
  <c r="AR63" i="26"/>
  <c r="AS63" i="24"/>
  <c r="AS61" i="24"/>
  <c r="AS59" i="24"/>
  <c r="AS70" i="18"/>
  <c r="AS71" i="18" s="1"/>
  <c r="AT60" i="18" s="1"/>
  <c r="AT68" i="18" l="1"/>
  <c r="AT67" i="18"/>
  <c r="AT72" i="18" s="1"/>
  <c r="AT73" i="18" s="1"/>
  <c r="AU66" i="18" s="1"/>
  <c r="AS64" i="24"/>
  <c r="AT68" i="16"/>
  <c r="AT66" i="16"/>
  <c r="AT67" i="16"/>
  <c r="AR75" i="24"/>
  <c r="AS62" i="24"/>
  <c r="AT72" i="26"/>
  <c r="AT73" i="26" s="1"/>
  <c r="AU68" i="26" s="1"/>
  <c r="AT72" i="24"/>
  <c r="AT73" i="24" s="1"/>
  <c r="AU66" i="24" s="1"/>
  <c r="AR59" i="16"/>
  <c r="AQ75" i="16"/>
  <c r="AR61" i="16"/>
  <c r="AR63" i="16"/>
  <c r="AR62" i="16"/>
  <c r="AR60" i="16"/>
  <c r="AR70" i="26"/>
  <c r="AR71" i="26" s="1"/>
  <c r="AS61" i="26" s="1"/>
  <c r="AS70" i="24"/>
  <c r="AS71" i="24" s="1"/>
  <c r="AT59" i="24" s="1"/>
  <c r="AS75" i="18"/>
  <c r="AT59" i="18"/>
  <c r="AT63" i="18"/>
  <c r="AT61" i="18"/>
  <c r="AT64" i="18"/>
  <c r="AT62" i="18"/>
  <c r="AU67" i="18" l="1"/>
  <c r="AU68" i="18"/>
  <c r="AT72" i="16"/>
  <c r="AT73" i="16" s="1"/>
  <c r="AU66" i="26"/>
  <c r="AU67" i="26"/>
  <c r="AU67" i="24"/>
  <c r="AU68" i="24"/>
  <c r="AU72" i="18"/>
  <c r="AU73" i="18" s="1"/>
  <c r="AV68" i="18" s="1"/>
  <c r="AR70" i="16"/>
  <c r="AR71" i="16" s="1"/>
  <c r="AS59" i="16" s="1"/>
  <c r="AT64" i="24"/>
  <c r="AT60" i="24"/>
  <c r="AS59" i="26"/>
  <c r="AS60" i="26"/>
  <c r="AS64" i="26"/>
  <c r="AS62" i="26"/>
  <c r="AS63" i="26"/>
  <c r="AR75" i="26"/>
  <c r="AS75" i="24"/>
  <c r="AT61" i="24"/>
  <c r="AT62" i="24"/>
  <c r="AT63" i="24"/>
  <c r="AT70" i="18"/>
  <c r="AT71" i="18" s="1"/>
  <c r="AU63" i="18" s="1"/>
  <c r="AU67" i="16" l="1"/>
  <c r="AU68" i="16"/>
  <c r="AU66" i="16"/>
  <c r="AU72" i="26"/>
  <c r="AU73" i="26" s="1"/>
  <c r="AV66" i="26" s="1"/>
  <c r="AU72" i="24"/>
  <c r="AU73" i="24" s="1"/>
  <c r="AV66" i="24" s="1"/>
  <c r="AV68" i="26"/>
  <c r="AV67" i="26"/>
  <c r="AV66" i="18"/>
  <c r="AS60" i="16"/>
  <c r="AS63" i="16"/>
  <c r="AV67" i="18"/>
  <c r="AR75" i="16"/>
  <c r="AS62" i="16"/>
  <c r="AS61" i="16"/>
  <c r="AS64" i="16"/>
  <c r="AS70" i="26"/>
  <c r="AS71" i="26" s="1"/>
  <c r="AT59" i="26" s="1"/>
  <c r="AT70" i="24"/>
  <c r="AT71" i="24" s="1"/>
  <c r="AU61" i="24" s="1"/>
  <c r="AU64" i="18"/>
  <c r="AU61" i="18"/>
  <c r="AU62" i="18"/>
  <c r="AT75" i="18"/>
  <c r="AU60" i="18"/>
  <c r="AU59" i="18"/>
  <c r="AV72" i="26" l="1"/>
  <c r="AV73" i="26" s="1"/>
  <c r="AW66" i="26" s="1"/>
  <c r="AV68" i="24"/>
  <c r="AU72" i="16"/>
  <c r="AU73" i="16" s="1"/>
  <c r="AV67" i="24"/>
  <c r="AV72" i="18"/>
  <c r="AV73" i="18" s="1"/>
  <c r="AW66" i="18" s="1"/>
  <c r="AV72" i="24"/>
  <c r="AV73" i="24" s="1"/>
  <c r="AW66" i="24" s="1"/>
  <c r="AS70" i="16"/>
  <c r="AS71" i="16" s="1"/>
  <c r="AT61" i="16" s="1"/>
  <c r="AW68" i="26"/>
  <c r="AW67" i="26"/>
  <c r="AW72" i="26" s="1"/>
  <c r="AW73" i="26" s="1"/>
  <c r="AX66" i="26" s="1"/>
  <c r="AU63" i="24"/>
  <c r="AU60" i="24"/>
  <c r="AU64" i="24"/>
  <c r="AT75" i="24"/>
  <c r="AU62" i="24"/>
  <c r="AU59" i="24"/>
  <c r="AT63" i="26"/>
  <c r="AT64" i="26"/>
  <c r="AT61" i="26"/>
  <c r="AT60" i="26"/>
  <c r="AS75" i="26"/>
  <c r="AT62" i="26"/>
  <c r="AU70" i="18"/>
  <c r="AU71" i="18" s="1"/>
  <c r="AV59" i="18" s="1"/>
  <c r="AV68" i="16" l="1"/>
  <c r="AV66" i="16"/>
  <c r="AV67" i="16"/>
  <c r="AW68" i="18"/>
  <c r="AW67" i="18"/>
  <c r="AW68" i="24"/>
  <c r="AT59" i="16"/>
  <c r="AT62" i="16"/>
  <c r="AT60" i="16"/>
  <c r="AS75" i="16"/>
  <c r="AT63" i="16"/>
  <c r="AT64" i="16"/>
  <c r="AW67" i="24"/>
  <c r="AX68" i="26"/>
  <c r="AX67" i="26"/>
  <c r="AU70" i="24"/>
  <c r="AU71" i="24" s="1"/>
  <c r="AV63" i="24" s="1"/>
  <c r="AV64" i="18"/>
  <c r="AU75" i="18"/>
  <c r="AV62" i="18"/>
  <c r="AT70" i="26"/>
  <c r="AT71" i="26" s="1"/>
  <c r="AU64" i="26" s="1"/>
  <c r="AV61" i="18"/>
  <c r="AV63" i="18"/>
  <c r="AV60" i="18"/>
  <c r="AV72" i="16" l="1"/>
  <c r="AV73" i="16" s="1"/>
  <c r="AW72" i="18"/>
  <c r="AW73" i="18" s="1"/>
  <c r="AX66" i="18" s="1"/>
  <c r="AX68" i="18"/>
  <c r="AW72" i="24"/>
  <c r="AW73" i="24" s="1"/>
  <c r="AX67" i="24" s="1"/>
  <c r="AT70" i="16"/>
  <c r="AT71" i="16" s="1"/>
  <c r="AU62" i="16" s="1"/>
  <c r="AX72" i="26"/>
  <c r="AX73" i="26" s="1"/>
  <c r="AY68" i="26" s="1"/>
  <c r="AU64" i="16"/>
  <c r="AU61" i="16"/>
  <c r="AV60" i="24"/>
  <c r="AV64" i="24"/>
  <c r="AV61" i="24"/>
  <c r="AU75" i="24"/>
  <c r="AV59" i="24"/>
  <c r="AV62" i="24"/>
  <c r="AV70" i="18"/>
  <c r="AV71" i="18" s="1"/>
  <c r="AV75" i="18" s="1"/>
  <c r="AU62" i="26"/>
  <c r="AU59" i="26"/>
  <c r="AU61" i="26"/>
  <c r="AU60" i="26"/>
  <c r="AT75" i="26"/>
  <c r="AU63" i="26"/>
  <c r="AX67" i="18" l="1"/>
  <c r="AW68" i="16"/>
  <c r="AW66" i="16"/>
  <c r="AW72" i="16" s="1"/>
  <c r="AW73" i="16" s="1"/>
  <c r="AW67" i="16"/>
  <c r="AU59" i="16"/>
  <c r="AU63" i="16"/>
  <c r="AT75" i="16"/>
  <c r="AX72" i="18"/>
  <c r="AX73" i="18" s="1"/>
  <c r="AY66" i="18" s="1"/>
  <c r="AU60" i="16"/>
  <c r="AU70" i="16" s="1"/>
  <c r="AU71" i="16" s="1"/>
  <c r="AU75" i="16" s="1"/>
  <c r="AX68" i="24"/>
  <c r="AX66" i="24"/>
  <c r="AY66" i="26"/>
  <c r="AY67" i="26"/>
  <c r="AV70" i="24"/>
  <c r="AV71" i="24" s="1"/>
  <c r="AW63" i="24" s="1"/>
  <c r="AW60" i="18"/>
  <c r="AW63" i="18"/>
  <c r="AW59" i="18"/>
  <c r="AW62" i="18"/>
  <c r="AW64" i="18"/>
  <c r="AW61" i="18"/>
  <c r="AU70" i="26"/>
  <c r="AU71" i="26" s="1"/>
  <c r="AV60" i="26" s="1"/>
  <c r="AX66" i="16" l="1"/>
  <c r="AX68" i="16"/>
  <c r="AX67" i="16"/>
  <c r="AY67" i="18"/>
  <c r="AY68" i="18"/>
  <c r="AX72" i="24"/>
  <c r="AX73" i="24" s="1"/>
  <c r="AY66" i="24" s="1"/>
  <c r="AV64" i="16"/>
  <c r="AY72" i="26"/>
  <c r="AY73" i="26" s="1"/>
  <c r="AZ67" i="26" s="1"/>
  <c r="AV61" i="16"/>
  <c r="AV59" i="16"/>
  <c r="AV62" i="16"/>
  <c r="AV63" i="16"/>
  <c r="AV60" i="16"/>
  <c r="AW62" i="24"/>
  <c r="AW70" i="18"/>
  <c r="AW71" i="18" s="1"/>
  <c r="AX59" i="18" s="1"/>
  <c r="AV75" i="24"/>
  <c r="AW60" i="24"/>
  <c r="AW64" i="24"/>
  <c r="AW61" i="24"/>
  <c r="AW59" i="24"/>
  <c r="AU75" i="26"/>
  <c r="AV59" i="26"/>
  <c r="AV64" i="26"/>
  <c r="AV61" i="26"/>
  <c r="AV63" i="26"/>
  <c r="AV62" i="26"/>
  <c r="AX72" i="16" l="1"/>
  <c r="AX73" i="16" s="1"/>
  <c r="AY72" i="18"/>
  <c r="AY73" i="18" s="1"/>
  <c r="AZ68" i="18" s="1"/>
  <c r="AY68" i="24"/>
  <c r="AY67" i="24"/>
  <c r="AY72" i="24" s="1"/>
  <c r="AY73" i="24" s="1"/>
  <c r="AZ66" i="24" s="1"/>
  <c r="AZ68" i="26"/>
  <c r="AZ66" i="26"/>
  <c r="AV70" i="16"/>
  <c r="AV71" i="16" s="1"/>
  <c r="AW62" i="16" s="1"/>
  <c r="AX64" i="18"/>
  <c r="AX63" i="18"/>
  <c r="AX61" i="18"/>
  <c r="AW75" i="18"/>
  <c r="AX62" i="18"/>
  <c r="AX60" i="18"/>
  <c r="AW70" i="24"/>
  <c r="AW71" i="24" s="1"/>
  <c r="AX61" i="24" s="1"/>
  <c r="AV70" i="26"/>
  <c r="AV71" i="26" s="1"/>
  <c r="AZ72" i="26" l="1"/>
  <c r="AZ73" i="26" s="1"/>
  <c r="BA68" i="26" s="1"/>
  <c r="AY66" i="16"/>
  <c r="AY67" i="16"/>
  <c r="AY68" i="16"/>
  <c r="AZ67" i="18"/>
  <c r="AZ66" i="18"/>
  <c r="AZ68" i="24"/>
  <c r="AZ67" i="24"/>
  <c r="AV75" i="16"/>
  <c r="AW60" i="16"/>
  <c r="AW59" i="16"/>
  <c r="AW64" i="16"/>
  <c r="AW63" i="16"/>
  <c r="AW61" i="16"/>
  <c r="AX62" i="24"/>
  <c r="AX64" i="24"/>
  <c r="AX70" i="18"/>
  <c r="AX71" i="18" s="1"/>
  <c r="AY61" i="18" s="1"/>
  <c r="AX60" i="24"/>
  <c r="AX63" i="24"/>
  <c r="AW75" i="24"/>
  <c r="AX59" i="24"/>
  <c r="AV75" i="26"/>
  <c r="AW63" i="26"/>
  <c r="AW60" i="26"/>
  <c r="AW64" i="26"/>
  <c r="AW59" i="26"/>
  <c r="AW62" i="26"/>
  <c r="AW61" i="26"/>
  <c r="BA67" i="26"/>
  <c r="BA66" i="26"/>
  <c r="AY72" i="16" l="1"/>
  <c r="AY73" i="16" s="1"/>
  <c r="AZ72" i="24"/>
  <c r="AZ73" i="24" s="1"/>
  <c r="BA67" i="24" s="1"/>
  <c r="AZ72" i="18"/>
  <c r="AZ73" i="18" s="1"/>
  <c r="BA66" i="18" s="1"/>
  <c r="BA72" i="18" s="1"/>
  <c r="BA73" i="18" s="1"/>
  <c r="BB66" i="18" s="1"/>
  <c r="BA67" i="18"/>
  <c r="BA68" i="18"/>
  <c r="AW70" i="16"/>
  <c r="AW71" i="16" s="1"/>
  <c r="AX63" i="16" s="1"/>
  <c r="AY60" i="18"/>
  <c r="AY64" i="18"/>
  <c r="AY62" i="18"/>
  <c r="AY59" i="18"/>
  <c r="AX75" i="18"/>
  <c r="AY63" i="18"/>
  <c r="AX70" i="24"/>
  <c r="AX71" i="24" s="1"/>
  <c r="AY63" i="24" s="1"/>
  <c r="AW75" i="16"/>
  <c r="AX59" i="16"/>
  <c r="AX62" i="16"/>
  <c r="AX64" i="16"/>
  <c r="AX60" i="16"/>
  <c r="AX61" i="16"/>
  <c r="AW70" i="26"/>
  <c r="AW71" i="26" s="1"/>
  <c r="BA72" i="26"/>
  <c r="BA73" i="26" s="1"/>
  <c r="BA66" i="24" l="1"/>
  <c r="BA68" i="24"/>
  <c r="AZ67" i="16"/>
  <c r="AZ66" i="16"/>
  <c r="AZ72" i="16" s="1"/>
  <c r="AZ73" i="16" s="1"/>
  <c r="AZ68" i="16"/>
  <c r="BB67" i="18"/>
  <c r="BB68" i="18"/>
  <c r="AY70" i="18"/>
  <c r="AY71" i="18" s="1"/>
  <c r="AZ59" i="18" s="1"/>
  <c r="AY64" i="24"/>
  <c r="AY59" i="24"/>
  <c r="AY62" i="24"/>
  <c r="AX75" i="24"/>
  <c r="AY61" i="24"/>
  <c r="AY60" i="24"/>
  <c r="BA72" i="24"/>
  <c r="BA73" i="24" s="1"/>
  <c r="BB72" i="18"/>
  <c r="BB73" i="18" s="1"/>
  <c r="BC68" i="18" s="1"/>
  <c r="AX70" i="16"/>
  <c r="AX71" i="16" s="1"/>
  <c r="AX75" i="16" s="1"/>
  <c r="AX62" i="26"/>
  <c r="AW75" i="26"/>
  <c r="AX64" i="26"/>
  <c r="AX60" i="26"/>
  <c r="AX59" i="26"/>
  <c r="AX63" i="26"/>
  <c r="AX61" i="26"/>
  <c r="BB66" i="26"/>
  <c r="BB67" i="26"/>
  <c r="BB68" i="26"/>
  <c r="AZ63" i="18"/>
  <c r="BA66" i="16" l="1"/>
  <c r="BA72" i="16" s="1"/>
  <c r="BA73" i="16" s="1"/>
  <c r="BB66" i="16" s="1"/>
  <c r="BA67" i="16"/>
  <c r="BA68" i="16"/>
  <c r="AZ62" i="18"/>
  <c r="AZ61" i="18"/>
  <c r="AZ60" i="18"/>
  <c r="AZ64" i="18"/>
  <c r="AY75" i="18"/>
  <c r="AY70" i="24"/>
  <c r="AY71" i="24" s="1"/>
  <c r="AZ63" i="24" s="1"/>
  <c r="BC67" i="18"/>
  <c r="BB67" i="24"/>
  <c r="BB66" i="24"/>
  <c r="BB68" i="24"/>
  <c r="BC66" i="18"/>
  <c r="BC72" i="18" s="1"/>
  <c r="BC73" i="18" s="1"/>
  <c r="AY64" i="16"/>
  <c r="AY63" i="16"/>
  <c r="AY62" i="16"/>
  <c r="AY61" i="16"/>
  <c r="AY59" i="16"/>
  <c r="AY60" i="16"/>
  <c r="BB68" i="16"/>
  <c r="BB67" i="16"/>
  <c r="AX70" i="26"/>
  <c r="AX71" i="26" s="1"/>
  <c r="BB72" i="26"/>
  <c r="BB73" i="26" s="1"/>
  <c r="AZ70" i="18" l="1"/>
  <c r="AZ71" i="18" s="1"/>
  <c r="AZ75" i="18" s="1"/>
  <c r="AZ60" i="24"/>
  <c r="AZ64" i="24"/>
  <c r="AZ59" i="24"/>
  <c r="AY75" i="24"/>
  <c r="AZ62" i="24"/>
  <c r="AZ61" i="24"/>
  <c r="BB72" i="24"/>
  <c r="BB73" i="24" s="1"/>
  <c r="AY70" i="16"/>
  <c r="AY71" i="16" s="1"/>
  <c r="AZ64" i="16" s="1"/>
  <c r="BD66" i="18"/>
  <c r="BD68" i="18"/>
  <c r="BD67" i="18"/>
  <c r="BB72" i="16"/>
  <c r="BB73" i="16" s="1"/>
  <c r="BC67" i="16" s="1"/>
  <c r="AY60" i="26"/>
  <c r="AY62" i="26"/>
  <c r="AY61" i="26"/>
  <c r="AX75" i="26"/>
  <c r="AY59" i="26"/>
  <c r="AY64" i="26"/>
  <c r="AY63" i="26"/>
  <c r="BC67" i="26"/>
  <c r="BC68" i="26"/>
  <c r="BC66" i="26"/>
  <c r="BA59" i="18"/>
  <c r="BA64" i="18" l="1"/>
  <c r="BA60" i="18"/>
  <c r="BA63" i="18"/>
  <c r="BA62" i="18"/>
  <c r="BA61" i="18"/>
  <c r="AZ70" i="24"/>
  <c r="AZ71" i="24" s="1"/>
  <c r="BA64" i="24" s="1"/>
  <c r="AZ62" i="16"/>
  <c r="AZ63" i="16"/>
  <c r="AZ59" i="16"/>
  <c r="AY75" i="16"/>
  <c r="AZ61" i="16"/>
  <c r="AZ60" i="16"/>
  <c r="BC66" i="24"/>
  <c r="BC68" i="24"/>
  <c r="BC67" i="24"/>
  <c r="BD72" i="18"/>
  <c r="BD73" i="18" s="1"/>
  <c r="BE68" i="18" s="1"/>
  <c r="BC68" i="16"/>
  <c r="BC66" i="16"/>
  <c r="AY70" i="26"/>
  <c r="AY71" i="26" s="1"/>
  <c r="BC72" i="26"/>
  <c r="BC73" i="26" s="1"/>
  <c r="BD67" i="26" s="1"/>
  <c r="BA70" i="18" l="1"/>
  <c r="BA71" i="18" s="1"/>
  <c r="BB64" i="18" s="1"/>
  <c r="BA61" i="24"/>
  <c r="BA60" i="24"/>
  <c r="BA62" i="24"/>
  <c r="AZ75" i="24"/>
  <c r="BA63" i="24"/>
  <c r="BA59" i="24"/>
  <c r="AZ70" i="16"/>
  <c r="AZ71" i="16" s="1"/>
  <c r="BA61" i="16" s="1"/>
  <c r="BE66" i="18"/>
  <c r="BC72" i="24"/>
  <c r="BC73" i="24" s="1"/>
  <c r="BE67" i="18"/>
  <c r="BC72" i="16"/>
  <c r="BC73" i="16" s="1"/>
  <c r="BD67" i="16" s="1"/>
  <c r="AY75" i="26"/>
  <c r="AZ61" i="26"/>
  <c r="AZ60" i="26"/>
  <c r="AZ64" i="26"/>
  <c r="AZ59" i="26"/>
  <c r="AZ62" i="26"/>
  <c r="AZ63" i="26"/>
  <c r="BD68" i="26"/>
  <c r="BD66" i="26"/>
  <c r="BA75" i="18"/>
  <c r="BB61" i="18"/>
  <c r="BB63" i="18"/>
  <c r="BB59" i="18"/>
  <c r="BB62" i="18" l="1"/>
  <c r="BB60" i="18"/>
  <c r="BA70" i="24"/>
  <c r="BA71" i="24" s="1"/>
  <c r="BB62" i="24" s="1"/>
  <c r="BA63" i="16"/>
  <c r="BA62" i="16"/>
  <c r="BE72" i="18"/>
  <c r="BE73" i="18" s="1"/>
  <c r="BF67" i="18" s="1"/>
  <c r="BA60" i="16"/>
  <c r="BA59" i="16"/>
  <c r="BA64" i="16"/>
  <c r="AZ75" i="16"/>
  <c r="BD67" i="24"/>
  <c r="BD68" i="24"/>
  <c r="BD66" i="24"/>
  <c r="BD68" i="16"/>
  <c r="BD66" i="16"/>
  <c r="BB60" i="24"/>
  <c r="BB61" i="24"/>
  <c r="BD72" i="26"/>
  <c r="BD73" i="26" s="1"/>
  <c r="BE67" i="26" s="1"/>
  <c r="AZ70" i="26"/>
  <c r="AZ71" i="26" s="1"/>
  <c r="BB70" i="18"/>
  <c r="BB71" i="18" s="1"/>
  <c r="BB75" i="18" s="1"/>
  <c r="BB59" i="24" l="1"/>
  <c r="BB64" i="24"/>
  <c r="BB63" i="24"/>
  <c r="BA70" i="16"/>
  <c r="BA71" i="16" s="1"/>
  <c r="BB63" i="16" s="1"/>
  <c r="BA75" i="24"/>
  <c r="BF68" i="18"/>
  <c r="BF66" i="18"/>
  <c r="BD72" i="24"/>
  <c r="BD73" i="24" s="1"/>
  <c r="BE67" i="24" s="1"/>
  <c r="BD72" i="16"/>
  <c r="BD73" i="16" s="1"/>
  <c r="BE67" i="16" s="1"/>
  <c r="BB64" i="16"/>
  <c r="BE66" i="26"/>
  <c r="BE68" i="26"/>
  <c r="BA59" i="26"/>
  <c r="BA60" i="26"/>
  <c r="BA62" i="26"/>
  <c r="BA61" i="26"/>
  <c r="BA64" i="26"/>
  <c r="AZ75" i="26"/>
  <c r="BA63" i="26"/>
  <c r="BC62" i="18"/>
  <c r="BC59" i="18"/>
  <c r="BC64" i="18"/>
  <c r="BC61" i="18"/>
  <c r="BC60" i="18"/>
  <c r="BC63" i="18"/>
  <c r="BB70" i="24" l="1"/>
  <c r="BB71" i="24" s="1"/>
  <c r="BC59" i="24" s="1"/>
  <c r="BB61" i="16"/>
  <c r="BB60" i="16"/>
  <c r="BB59" i="16"/>
  <c r="BB62" i="16"/>
  <c r="BA75" i="16"/>
  <c r="BF72" i="18"/>
  <c r="BF73" i="18" s="1"/>
  <c r="BG68" i="18" s="1"/>
  <c r="BE66" i="24"/>
  <c r="BE66" i="16"/>
  <c r="BE68" i="16"/>
  <c r="BE68" i="24"/>
  <c r="BC64" i="24"/>
  <c r="BC63" i="24"/>
  <c r="BC62" i="24"/>
  <c r="BE72" i="26"/>
  <c r="BE73" i="26" s="1"/>
  <c r="BA70" i="26"/>
  <c r="BA71" i="26" s="1"/>
  <c r="BC70" i="18"/>
  <c r="BC71" i="18" s="1"/>
  <c r="BD62" i="18" s="1"/>
  <c r="BC61" i="24" l="1"/>
  <c r="BC70" i="24" s="1"/>
  <c r="BC71" i="24" s="1"/>
  <c r="BB75" i="24"/>
  <c r="BB70" i="16"/>
  <c r="BB71" i="16" s="1"/>
  <c r="BC60" i="16" s="1"/>
  <c r="BC60" i="24"/>
  <c r="BG66" i="18"/>
  <c r="BG67" i="18"/>
  <c r="BE72" i="24"/>
  <c r="BE73" i="24" s="1"/>
  <c r="BF68" i="24" s="1"/>
  <c r="BE72" i="16"/>
  <c r="BE73" i="16" s="1"/>
  <c r="BF66" i="16" s="1"/>
  <c r="BC59" i="16"/>
  <c r="BB75" i="16"/>
  <c r="BC61" i="16"/>
  <c r="BC64" i="16"/>
  <c r="BC63" i="16"/>
  <c r="BC62" i="16"/>
  <c r="BF67" i="26"/>
  <c r="BF68" i="26"/>
  <c r="BF66" i="26"/>
  <c r="BA75" i="26"/>
  <c r="BB61" i="26"/>
  <c r="BB64" i="26"/>
  <c r="BB60" i="26"/>
  <c r="BB63" i="26"/>
  <c r="BB59" i="26"/>
  <c r="BB62" i="26"/>
  <c r="BD61" i="18"/>
  <c r="BD64" i="18"/>
  <c r="BD60" i="18"/>
  <c r="BD59" i="18"/>
  <c r="BC75" i="18"/>
  <c r="BD63" i="18"/>
  <c r="BG72" i="18" l="1"/>
  <c r="BG73" i="18" s="1"/>
  <c r="BH68" i="18" s="1"/>
  <c r="BF66" i="24"/>
  <c r="BF67" i="24"/>
  <c r="BF67" i="16"/>
  <c r="BF68" i="16"/>
  <c r="BC70" i="16"/>
  <c r="BC71" i="16" s="1"/>
  <c r="BD59" i="16" s="1"/>
  <c r="BD61" i="24"/>
  <c r="BD64" i="24"/>
  <c r="BD63" i="24"/>
  <c r="BC75" i="24"/>
  <c r="BD62" i="24"/>
  <c r="BD59" i="24"/>
  <c r="BD60" i="24"/>
  <c r="BF72" i="26"/>
  <c r="BF73" i="26" s="1"/>
  <c r="BG66" i="26" s="1"/>
  <c r="BB70" i="26"/>
  <c r="BB71" i="26" s="1"/>
  <c r="BD70" i="18"/>
  <c r="BD71" i="18" s="1"/>
  <c r="BE61" i="18" s="1"/>
  <c r="BH67" i="18" l="1"/>
  <c r="BH66" i="18"/>
  <c r="BF72" i="24"/>
  <c r="BF73" i="24" s="1"/>
  <c r="BG68" i="24" s="1"/>
  <c r="BC75" i="16"/>
  <c r="BD62" i="16"/>
  <c r="BD64" i="16"/>
  <c r="BD63" i="16"/>
  <c r="BF72" i="16"/>
  <c r="BF73" i="16" s="1"/>
  <c r="BG66" i="16" s="1"/>
  <c r="BD61" i="16"/>
  <c r="BD60" i="16"/>
  <c r="BD70" i="24"/>
  <c r="BD71" i="24" s="1"/>
  <c r="BE60" i="18"/>
  <c r="BG67" i="26"/>
  <c r="BG68" i="26"/>
  <c r="BC61" i="26"/>
  <c r="BB75" i="26"/>
  <c r="BC59" i="26"/>
  <c r="BC60" i="26"/>
  <c r="BC62" i="26"/>
  <c r="BC64" i="26"/>
  <c r="BC63" i="26"/>
  <c r="BE59" i="18"/>
  <c r="BE63" i="18"/>
  <c r="BE62" i="18"/>
  <c r="BE64" i="18"/>
  <c r="BD75" i="18"/>
  <c r="BG66" i="24" l="1"/>
  <c r="BH72" i="18"/>
  <c r="BH73" i="18" s="1"/>
  <c r="BG67" i="24"/>
  <c r="BG67" i="16"/>
  <c r="BG68" i="16"/>
  <c r="BD70" i="16"/>
  <c r="BD71" i="16" s="1"/>
  <c r="BE60" i="16" s="1"/>
  <c r="BG72" i="26"/>
  <c r="BG73" i="26" s="1"/>
  <c r="BH67" i="26" s="1"/>
  <c r="BE64" i="24"/>
  <c r="BE62" i="24"/>
  <c r="BE59" i="24"/>
  <c r="BE61" i="24"/>
  <c r="BE63" i="24"/>
  <c r="BE60" i="24"/>
  <c r="BD75" i="24"/>
  <c r="BE70" i="18"/>
  <c r="BE71" i="18" s="1"/>
  <c r="BF64" i="18" s="1"/>
  <c r="BC70" i="26"/>
  <c r="BC71" i="26" s="1"/>
  <c r="BG72" i="24" l="1"/>
  <c r="BG73" i="24" s="1"/>
  <c r="BH68" i="24" s="1"/>
  <c r="BI67" i="18"/>
  <c r="BI68" i="18"/>
  <c r="BI66" i="18"/>
  <c r="BE62" i="16"/>
  <c r="BE59" i="16"/>
  <c r="BE61" i="16"/>
  <c r="BE64" i="16"/>
  <c r="BE63" i="16"/>
  <c r="BD75" i="16"/>
  <c r="BG72" i="16"/>
  <c r="BG73" i="16" s="1"/>
  <c r="BH66" i="24"/>
  <c r="BH68" i="26"/>
  <c r="BH66" i="26"/>
  <c r="BE70" i="24"/>
  <c r="BE71" i="24" s="1"/>
  <c r="BF60" i="18"/>
  <c r="BF59" i="18"/>
  <c r="BF61" i="18"/>
  <c r="BF63" i="18"/>
  <c r="BF62" i="18"/>
  <c r="BE75" i="18"/>
  <c r="BD64" i="26"/>
  <c r="BD61" i="26"/>
  <c r="BD62" i="26"/>
  <c r="BC75" i="26"/>
  <c r="BD59" i="26"/>
  <c r="BD63" i="26"/>
  <c r="BD60" i="26"/>
  <c r="BH67" i="24" l="1"/>
  <c r="BI72" i="18"/>
  <c r="BI73" i="18" s="1"/>
  <c r="BJ67" i="18" s="1"/>
  <c r="BE70" i="16"/>
  <c r="BE71" i="16" s="1"/>
  <c r="BF60" i="16" s="1"/>
  <c r="BH72" i="26"/>
  <c r="BH73" i="26" s="1"/>
  <c r="BI67" i="26" s="1"/>
  <c r="BH72" i="24"/>
  <c r="BH73" i="24" s="1"/>
  <c r="BI67" i="24" s="1"/>
  <c r="BH67" i="16"/>
  <c r="BH68" i="16"/>
  <c r="BH66" i="16"/>
  <c r="BF70" i="18"/>
  <c r="BF71" i="18" s="1"/>
  <c r="BG60" i="18" s="1"/>
  <c r="BF61" i="24"/>
  <c r="BF62" i="24"/>
  <c r="BF60" i="24"/>
  <c r="BF59" i="24"/>
  <c r="BE75" i="24"/>
  <c r="BF64" i="24"/>
  <c r="BF63" i="24"/>
  <c r="BF59" i="16"/>
  <c r="BD70" i="26"/>
  <c r="BD71" i="26" s="1"/>
  <c r="BF64" i="16" l="1"/>
  <c r="BE75" i="16"/>
  <c r="BF62" i="16"/>
  <c r="BJ68" i="18"/>
  <c r="BJ66" i="18"/>
  <c r="BF63" i="16"/>
  <c r="BF61" i="16"/>
  <c r="BI68" i="26"/>
  <c r="BI66" i="26"/>
  <c r="BI68" i="24"/>
  <c r="BI66" i="24"/>
  <c r="BH72" i="16"/>
  <c r="BH73" i="16" s="1"/>
  <c r="BG64" i="18"/>
  <c r="BG59" i="18"/>
  <c r="BF75" i="18"/>
  <c r="BG63" i="18"/>
  <c r="BG62" i="18"/>
  <c r="BG61" i="18"/>
  <c r="BF70" i="24"/>
  <c r="BF71" i="24" s="1"/>
  <c r="BG64" i="24" s="1"/>
  <c r="BE61" i="26"/>
  <c r="BE63" i="26"/>
  <c r="BE59" i="26"/>
  <c r="BE62" i="26"/>
  <c r="BE64" i="26"/>
  <c r="BD75" i="26"/>
  <c r="BE60" i="26"/>
  <c r="BI72" i="24" l="1"/>
  <c r="BI73" i="24" s="1"/>
  <c r="BJ66" i="24" s="1"/>
  <c r="BF70" i="16"/>
  <c r="BF71" i="16" s="1"/>
  <c r="BG62" i="16" s="1"/>
  <c r="BJ72" i="18"/>
  <c r="BJ73" i="18" s="1"/>
  <c r="BK68" i="18" s="1"/>
  <c r="BI72" i="26"/>
  <c r="BI73" i="26" s="1"/>
  <c r="BJ67" i="26" s="1"/>
  <c r="BK66" i="18"/>
  <c r="BG70" i="18"/>
  <c r="BG71" i="18" s="1"/>
  <c r="BH61" i="18" s="1"/>
  <c r="BI68" i="16"/>
  <c r="BI67" i="16"/>
  <c r="BI66" i="16"/>
  <c r="BG59" i="24"/>
  <c r="BG61" i="24"/>
  <c r="BF75" i="24"/>
  <c r="BG63" i="24"/>
  <c r="BG60" i="24"/>
  <c r="BG62" i="24"/>
  <c r="BG64" i="16"/>
  <c r="BF75" i="16"/>
  <c r="BG61" i="16"/>
  <c r="BG59" i="16"/>
  <c r="BG63" i="16"/>
  <c r="BG60" i="16"/>
  <c r="BE70" i="26"/>
  <c r="BE71" i="26" s="1"/>
  <c r="BH59" i="18"/>
  <c r="BJ68" i="24" l="1"/>
  <c r="BJ67" i="24"/>
  <c r="BJ68" i="26"/>
  <c r="BK67" i="18"/>
  <c r="BH63" i="18"/>
  <c r="BG75" i="18"/>
  <c r="BJ66" i="26"/>
  <c r="BJ72" i="26" s="1"/>
  <c r="BJ73" i="26" s="1"/>
  <c r="BK67" i="26" s="1"/>
  <c r="BK72" i="18"/>
  <c r="BK73" i="18" s="1"/>
  <c r="BJ72" i="24"/>
  <c r="BJ73" i="24" s="1"/>
  <c r="BK68" i="24" s="1"/>
  <c r="BH62" i="18"/>
  <c r="BH60" i="18"/>
  <c r="BH64" i="18"/>
  <c r="BI72" i="16"/>
  <c r="BI73" i="16" s="1"/>
  <c r="BJ68" i="16" s="1"/>
  <c r="BG70" i="24"/>
  <c r="BG71" i="24" s="1"/>
  <c r="BH60" i="24" s="1"/>
  <c r="BG70" i="16"/>
  <c r="BG71" i="16" s="1"/>
  <c r="BH60" i="16" s="1"/>
  <c r="BF63" i="26"/>
  <c r="BE75" i="26"/>
  <c r="BF62" i="26"/>
  <c r="BF61" i="26"/>
  <c r="BF64" i="26"/>
  <c r="BF60" i="26"/>
  <c r="BF59" i="26"/>
  <c r="BK67" i="24" l="1"/>
  <c r="BK66" i="24"/>
  <c r="BL68" i="18"/>
  <c r="BL67" i="18"/>
  <c r="BL66" i="18"/>
  <c r="BH70" i="18"/>
  <c r="BH71" i="18" s="1"/>
  <c r="BI63" i="18" s="1"/>
  <c r="BH61" i="24"/>
  <c r="BJ66" i="16"/>
  <c r="BJ67" i="16"/>
  <c r="BH62" i="24"/>
  <c r="BG75" i="24"/>
  <c r="BH59" i="24"/>
  <c r="BH63" i="24"/>
  <c r="BH64" i="24"/>
  <c r="BK72" i="24"/>
  <c r="BK73" i="24" s="1"/>
  <c r="BK68" i="26"/>
  <c r="BK66" i="26"/>
  <c r="BH61" i="16"/>
  <c r="BH62" i="16"/>
  <c r="BG75" i="16"/>
  <c r="BH59" i="16"/>
  <c r="BH63" i="16"/>
  <c r="BH64" i="16"/>
  <c r="BF70" i="26"/>
  <c r="BF71" i="26" s="1"/>
  <c r="BH75" i="18" l="1"/>
  <c r="BI61" i="18"/>
  <c r="BI59" i="18"/>
  <c r="BI64" i="18"/>
  <c r="BI62" i="18"/>
  <c r="BI60" i="18"/>
  <c r="BL72" i="18"/>
  <c r="BL73" i="18" s="1"/>
  <c r="BJ72" i="16"/>
  <c r="BJ73" i="16" s="1"/>
  <c r="BH70" i="24"/>
  <c r="BH71" i="24" s="1"/>
  <c r="BI62" i="24" s="1"/>
  <c r="BL68" i="24"/>
  <c r="BL66" i="24"/>
  <c r="BL67" i="24"/>
  <c r="BK72" i="26"/>
  <c r="BK73" i="26" s="1"/>
  <c r="BL67" i="26" s="1"/>
  <c r="BH70" i="16"/>
  <c r="BH71" i="16" s="1"/>
  <c r="BI60" i="16" s="1"/>
  <c r="BG60" i="26"/>
  <c r="BF75" i="26"/>
  <c r="BG63" i="26"/>
  <c r="BG59" i="26"/>
  <c r="BG61" i="26"/>
  <c r="BG64" i="26"/>
  <c r="BG62" i="26"/>
  <c r="BI70" i="18" l="1"/>
  <c r="BI71" i="18" s="1"/>
  <c r="BJ63" i="18" s="1"/>
  <c r="BI61" i="24"/>
  <c r="BM68" i="18"/>
  <c r="BM67" i="18"/>
  <c r="BM66" i="18"/>
  <c r="BH75" i="24"/>
  <c r="BI60" i="24"/>
  <c r="BK66" i="16"/>
  <c r="BK67" i="16"/>
  <c r="BK68" i="16"/>
  <c r="BI63" i="24"/>
  <c r="BI59" i="24"/>
  <c r="BI64" i="24"/>
  <c r="BL72" i="24"/>
  <c r="BL73" i="24" s="1"/>
  <c r="BL66" i="26"/>
  <c r="BL68" i="26"/>
  <c r="BJ64" i="18"/>
  <c r="BJ60" i="18"/>
  <c r="BI61" i="16"/>
  <c r="BI62" i="16"/>
  <c r="BI63" i="16"/>
  <c r="BI59" i="16"/>
  <c r="BH75" i="16"/>
  <c r="BI64" i="16"/>
  <c r="BG70" i="26"/>
  <c r="BG71" i="26" s="1"/>
  <c r="BH64" i="26" s="1"/>
  <c r="BJ62" i="18"/>
  <c r="BJ61" i="18"/>
  <c r="BI75" i="18"/>
  <c r="BJ59" i="18"/>
  <c r="BM72" i="18" l="1"/>
  <c r="BM73" i="18" s="1"/>
  <c r="BN66" i="18" s="1"/>
  <c r="BK72" i="16"/>
  <c r="BK73" i="16" s="1"/>
  <c r="BI70" i="24"/>
  <c r="BI71" i="24" s="1"/>
  <c r="BI75" i="24" s="1"/>
  <c r="BM68" i="24"/>
  <c r="BM67" i="24"/>
  <c r="BM66" i="24"/>
  <c r="BL72" i="26"/>
  <c r="BL73" i="26" s="1"/>
  <c r="BM68" i="26" s="1"/>
  <c r="BJ70" i="18"/>
  <c r="BJ71" i="18" s="1"/>
  <c r="BK62" i="18" s="1"/>
  <c r="BI70" i="16"/>
  <c r="BI71" i="16" s="1"/>
  <c r="BI75" i="16" s="1"/>
  <c r="BG75" i="26"/>
  <c r="BH59" i="26"/>
  <c r="BH60" i="26"/>
  <c r="BH61" i="26"/>
  <c r="BH63" i="26"/>
  <c r="BH62" i="26"/>
  <c r="BN67" i="18" l="1"/>
  <c r="BN68" i="18"/>
  <c r="BJ62" i="24"/>
  <c r="BJ64" i="24"/>
  <c r="BJ63" i="24"/>
  <c r="BJ61" i="24"/>
  <c r="BJ59" i="24"/>
  <c r="BJ60" i="24"/>
  <c r="BL66" i="16"/>
  <c r="BL67" i="16"/>
  <c r="BL68" i="16"/>
  <c r="BM72" i="24"/>
  <c r="BM73" i="24" s="1"/>
  <c r="BN68" i="24" s="1"/>
  <c r="BM66" i="26"/>
  <c r="BM67" i="26"/>
  <c r="BK61" i="18"/>
  <c r="BJ75" i="18"/>
  <c r="BK59" i="18"/>
  <c r="BK60" i="18"/>
  <c r="BK64" i="18"/>
  <c r="BK63" i="18"/>
  <c r="BJ64" i="16"/>
  <c r="BJ59" i="16"/>
  <c r="BJ62" i="16"/>
  <c r="BJ63" i="16"/>
  <c r="BJ61" i="16"/>
  <c r="BJ60" i="16"/>
  <c r="BH70" i="26"/>
  <c r="BH71" i="26" s="1"/>
  <c r="BI59" i="26" s="1"/>
  <c r="BN72" i="18" l="1"/>
  <c r="BN73" i="18" s="1"/>
  <c r="BO68" i="18" s="1"/>
  <c r="BJ70" i="24"/>
  <c r="BJ71" i="24" s="1"/>
  <c r="BJ75" i="24" s="1"/>
  <c r="BL72" i="16"/>
  <c r="BL73" i="16" s="1"/>
  <c r="BN67" i="24"/>
  <c r="BN66" i="24"/>
  <c r="BM72" i="26"/>
  <c r="BM73" i="26" s="1"/>
  <c r="BK70" i="18"/>
  <c r="BK71" i="18" s="1"/>
  <c r="BL60" i="18" s="1"/>
  <c r="BK64" i="24"/>
  <c r="BI61" i="26"/>
  <c r="BJ70" i="16"/>
  <c r="BJ71" i="16" s="1"/>
  <c r="BK62" i="16" s="1"/>
  <c r="BI63" i="26"/>
  <c r="BI60" i="26"/>
  <c r="BH75" i="26"/>
  <c r="BI64" i="26"/>
  <c r="BI62" i="26"/>
  <c r="BK61" i="24" l="1"/>
  <c r="BO67" i="18"/>
  <c r="BO66" i="18"/>
  <c r="BO72" i="18" s="1"/>
  <c r="BO73" i="18" s="1"/>
  <c r="BP66" i="18" s="1"/>
  <c r="BK60" i="24"/>
  <c r="BK63" i="24"/>
  <c r="BK59" i="24"/>
  <c r="BK62" i="24"/>
  <c r="BK70" i="24" s="1"/>
  <c r="BK71" i="24" s="1"/>
  <c r="BM66" i="16"/>
  <c r="BM67" i="16"/>
  <c r="BM68" i="16"/>
  <c r="BN72" i="24"/>
  <c r="BN73" i="24" s="1"/>
  <c r="BO68" i="24" s="1"/>
  <c r="BN67" i="26"/>
  <c r="BN66" i="26"/>
  <c r="BN68" i="26"/>
  <c r="BL59" i="18"/>
  <c r="BL64" i="18"/>
  <c r="BL61" i="18"/>
  <c r="BL63" i="18"/>
  <c r="BL62" i="18"/>
  <c r="BK75" i="18"/>
  <c r="BI70" i="26"/>
  <c r="BI71" i="26" s="1"/>
  <c r="BJ59" i="26" s="1"/>
  <c r="BJ75" i="16"/>
  <c r="BK63" i="16"/>
  <c r="BK61" i="16"/>
  <c r="BK64" i="16"/>
  <c r="BK59" i="16"/>
  <c r="BK60" i="16"/>
  <c r="BP67" i="18" l="1"/>
  <c r="BP68" i="18"/>
  <c r="BP72" i="18" s="1"/>
  <c r="BP73" i="18" s="1"/>
  <c r="BQ67" i="18" s="1"/>
  <c r="BM72" i="16"/>
  <c r="BM73" i="16" s="1"/>
  <c r="BO66" i="24"/>
  <c r="BO67" i="24"/>
  <c r="BQ66" i="18"/>
  <c r="BN72" i="26"/>
  <c r="BN73" i="26" s="1"/>
  <c r="BL70" i="18"/>
  <c r="BL71" i="18" s="1"/>
  <c r="BK75" i="24"/>
  <c r="BL60" i="24"/>
  <c r="BL63" i="24"/>
  <c r="BL59" i="24"/>
  <c r="BL64" i="24"/>
  <c r="BL62" i="24"/>
  <c r="BL61" i="24"/>
  <c r="BI75" i="26"/>
  <c r="BJ63" i="26"/>
  <c r="BJ64" i="26"/>
  <c r="BJ61" i="26"/>
  <c r="BJ62" i="26"/>
  <c r="BJ60" i="26"/>
  <c r="BK70" i="16"/>
  <c r="BK71" i="16" s="1"/>
  <c r="BL63" i="16" s="1"/>
  <c r="BQ68" i="18" l="1"/>
  <c r="BO72" i="24"/>
  <c r="BO73" i="24" s="1"/>
  <c r="BP67" i="24" s="1"/>
  <c r="BN67" i="16"/>
  <c r="BN68" i="16"/>
  <c r="BN66" i="16"/>
  <c r="BP68" i="24"/>
  <c r="BQ72" i="18"/>
  <c r="BQ73" i="18" s="1"/>
  <c r="BR68" i="18" s="1"/>
  <c r="BJ70" i="26"/>
  <c r="BJ71" i="26" s="1"/>
  <c r="BK64" i="26" s="1"/>
  <c r="BO67" i="26"/>
  <c r="BO68" i="26"/>
  <c r="BO66" i="26"/>
  <c r="BM60" i="18"/>
  <c r="BM64" i="18"/>
  <c r="BM62" i="18"/>
  <c r="BM59" i="18"/>
  <c r="BL75" i="18"/>
  <c r="BM63" i="18"/>
  <c r="BM61" i="18"/>
  <c r="BL70" i="24"/>
  <c r="BL71" i="24" s="1"/>
  <c r="BM64" i="24" s="1"/>
  <c r="BL59" i="16"/>
  <c r="BL64" i="16"/>
  <c r="BL60" i="16"/>
  <c r="BL62" i="16"/>
  <c r="BL61" i="16"/>
  <c r="BK75" i="16"/>
  <c r="BP66" i="24" l="1"/>
  <c r="BP72" i="24" s="1"/>
  <c r="BP73" i="24" s="1"/>
  <c r="BQ66" i="24" s="1"/>
  <c r="BN72" i="16"/>
  <c r="BN73" i="16" s="1"/>
  <c r="BO67" i="16" s="1"/>
  <c r="BR67" i="18"/>
  <c r="BK63" i="26"/>
  <c r="BK59" i="26"/>
  <c r="BK61" i="26"/>
  <c r="BK60" i="26"/>
  <c r="BJ75" i="26"/>
  <c r="BR66" i="18"/>
  <c r="BK62" i="26"/>
  <c r="BO72" i="26"/>
  <c r="BO73" i="26" s="1"/>
  <c r="BP66" i="26" s="1"/>
  <c r="BM70" i="18"/>
  <c r="BM71" i="18" s="1"/>
  <c r="BN63" i="18" s="1"/>
  <c r="BM63" i="24"/>
  <c r="BL75" i="24"/>
  <c r="BM59" i="24"/>
  <c r="BM60" i="24"/>
  <c r="BM61" i="24"/>
  <c r="BM62" i="24"/>
  <c r="BL70" i="16"/>
  <c r="BL71" i="16" s="1"/>
  <c r="BM64" i="16" s="1"/>
  <c r="BO66" i="16" l="1"/>
  <c r="BK70" i="26"/>
  <c r="BK71" i="26" s="1"/>
  <c r="BL64" i="26" s="1"/>
  <c r="BO68" i="16"/>
  <c r="BO72" i="16" s="1"/>
  <c r="BO73" i="16" s="1"/>
  <c r="BP67" i="16" s="1"/>
  <c r="BR72" i="18"/>
  <c r="BR73" i="18" s="1"/>
  <c r="BS68" i="18" s="1"/>
  <c r="BQ68" i="24"/>
  <c r="BQ67" i="24"/>
  <c r="BP67" i="26"/>
  <c r="BP68" i="26"/>
  <c r="BN64" i="18"/>
  <c r="BN62" i="18"/>
  <c r="BN59" i="18"/>
  <c r="BN60" i="18"/>
  <c r="BM75" i="18"/>
  <c r="BN61" i="18"/>
  <c r="BM70" i="24"/>
  <c r="BM71" i="24" s="1"/>
  <c r="BN63" i="24" s="1"/>
  <c r="BM63" i="16"/>
  <c r="BM61" i="16"/>
  <c r="BM59" i="16"/>
  <c r="BM62" i="16"/>
  <c r="BM60" i="16"/>
  <c r="BL75" i="16"/>
  <c r="BL63" i="26"/>
  <c r="BL60" i="26"/>
  <c r="BL59" i="26"/>
  <c r="BL61" i="26"/>
  <c r="BL62" i="26"/>
  <c r="BK75" i="26"/>
  <c r="BS67" i="18" l="1"/>
  <c r="BS66" i="18"/>
  <c r="BP66" i="16"/>
  <c r="BP68" i="16"/>
  <c r="BQ72" i="24"/>
  <c r="BQ73" i="24" s="1"/>
  <c r="BR67" i="24" s="1"/>
  <c r="BP72" i="26"/>
  <c r="BP73" i="26" s="1"/>
  <c r="BQ68" i="26" s="1"/>
  <c r="BN70" i="18"/>
  <c r="BN71" i="18" s="1"/>
  <c r="BO59" i="18" s="1"/>
  <c r="BM75" i="24"/>
  <c r="BN62" i="24"/>
  <c r="BN61" i="24"/>
  <c r="BN64" i="24"/>
  <c r="BN59" i="24"/>
  <c r="BN60" i="24"/>
  <c r="BS72" i="18"/>
  <c r="BS73" i="18" s="1"/>
  <c r="BO61" i="18"/>
  <c r="BM70" i="16"/>
  <c r="BM71" i="16" s="1"/>
  <c r="BM75" i="16" s="1"/>
  <c r="BL70" i="26"/>
  <c r="BL71" i="26" s="1"/>
  <c r="BO62" i="18" l="1"/>
  <c r="BQ67" i="26"/>
  <c r="BO63" i="18"/>
  <c r="BR66" i="24"/>
  <c r="BP72" i="16"/>
  <c r="BP73" i="16" s="1"/>
  <c r="BQ67" i="16" s="1"/>
  <c r="BR68" i="24"/>
  <c r="BO64" i="18"/>
  <c r="BN75" i="18"/>
  <c r="BQ66" i="26"/>
  <c r="BQ72" i="26" s="1"/>
  <c r="BQ73" i="26" s="1"/>
  <c r="BR67" i="26" s="1"/>
  <c r="BO60" i="18"/>
  <c r="BN70" i="24"/>
  <c r="BN71" i="24" s="1"/>
  <c r="BO63" i="24" s="1"/>
  <c r="BT66" i="18"/>
  <c r="BT68" i="18"/>
  <c r="BT67" i="18"/>
  <c r="BN62" i="16"/>
  <c r="BN61" i="16"/>
  <c r="BN59" i="16"/>
  <c r="BN64" i="16"/>
  <c r="BN60" i="16"/>
  <c r="BN63" i="16"/>
  <c r="BM60" i="26"/>
  <c r="BM59" i="26"/>
  <c r="BM62" i="26"/>
  <c r="BL75" i="26"/>
  <c r="BM64" i="26"/>
  <c r="BM61" i="26"/>
  <c r="BM63" i="26"/>
  <c r="BO70" i="18" l="1"/>
  <c r="BO71" i="18" s="1"/>
  <c r="BP60" i="18" s="1"/>
  <c r="BR72" i="24"/>
  <c r="BR73" i="24" s="1"/>
  <c r="BS67" i="24" s="1"/>
  <c r="BQ66" i="16"/>
  <c r="BQ68" i="16"/>
  <c r="BQ72" i="16" s="1"/>
  <c r="BQ73" i="16" s="1"/>
  <c r="BR66" i="16" s="1"/>
  <c r="BO64" i="24"/>
  <c r="BO62" i="24"/>
  <c r="BN75" i="24"/>
  <c r="BO59" i="24"/>
  <c r="BO61" i="24"/>
  <c r="BO60" i="24"/>
  <c r="BR68" i="26"/>
  <c r="BR66" i="26"/>
  <c r="BS66" i="24"/>
  <c r="BT72" i="18"/>
  <c r="BT73" i="18" s="1"/>
  <c r="BP63" i="18"/>
  <c r="BP59" i="18"/>
  <c r="BO75" i="18"/>
  <c r="BP61" i="18"/>
  <c r="BN70" i="16"/>
  <c r="BN71" i="16" s="1"/>
  <c r="BO62" i="16" s="1"/>
  <c r="BM70" i="26"/>
  <c r="BM71" i="26" s="1"/>
  <c r="BS68" i="24" l="1"/>
  <c r="BP62" i="18"/>
  <c r="BP64" i="18"/>
  <c r="BO70" i="24"/>
  <c r="BO71" i="24" s="1"/>
  <c r="BP64" i="24" s="1"/>
  <c r="BR72" i="26"/>
  <c r="BR73" i="26" s="1"/>
  <c r="BS66" i="26" s="1"/>
  <c r="BS72" i="24"/>
  <c r="BS73" i="24" s="1"/>
  <c r="BT66" i="24" s="1"/>
  <c r="BP70" i="18"/>
  <c r="BP71" i="18" s="1"/>
  <c r="BU68" i="18"/>
  <c r="BU67" i="18"/>
  <c r="BU66" i="18"/>
  <c r="BO61" i="16"/>
  <c r="BO64" i="16"/>
  <c r="BO63" i="16"/>
  <c r="BP62" i="24"/>
  <c r="BO60" i="16"/>
  <c r="BP60" i="24"/>
  <c r="BR68" i="16"/>
  <c r="BR67" i="16"/>
  <c r="BO75" i="24"/>
  <c r="BP63" i="24"/>
  <c r="BO59" i="16"/>
  <c r="BN75" i="16"/>
  <c r="BN62" i="26"/>
  <c r="BN61" i="26"/>
  <c r="BN63" i="26"/>
  <c r="BN60" i="26"/>
  <c r="BN59" i="26"/>
  <c r="BN64" i="26"/>
  <c r="BM75" i="26"/>
  <c r="BP61" i="24" l="1"/>
  <c r="BP59" i="24"/>
  <c r="BS67" i="26"/>
  <c r="BS68" i="26"/>
  <c r="BU72" i="18"/>
  <c r="BU73" i="18" s="1"/>
  <c r="BV67" i="18" s="1"/>
  <c r="BT68" i="24"/>
  <c r="BT67" i="24"/>
  <c r="BT72" i="24" s="1"/>
  <c r="BT73" i="24" s="1"/>
  <c r="BO70" i="16"/>
  <c r="BO71" i="16" s="1"/>
  <c r="BP60" i="16" s="1"/>
  <c r="BP70" i="24"/>
  <c r="BP71" i="24" s="1"/>
  <c r="BQ63" i="24" s="1"/>
  <c r="BQ61" i="18"/>
  <c r="BQ60" i="18"/>
  <c r="BQ64" i="18"/>
  <c r="BQ63" i="18"/>
  <c r="BP75" i="18"/>
  <c r="BQ62" i="18"/>
  <c r="BQ59" i="18"/>
  <c r="BR72" i="16"/>
  <c r="BR73" i="16" s="1"/>
  <c r="BS67" i="16" s="1"/>
  <c r="BN70" i="26"/>
  <c r="BN71" i="26" s="1"/>
  <c r="BS72" i="26" l="1"/>
  <c r="BS73" i="26" s="1"/>
  <c r="BT67" i="26" s="1"/>
  <c r="BP59" i="16"/>
  <c r="BP62" i="16"/>
  <c r="BV66" i="18"/>
  <c r="BV68" i="18"/>
  <c r="BO75" i="16"/>
  <c r="BQ62" i="24"/>
  <c r="BP61" i="16"/>
  <c r="BQ60" i="24"/>
  <c r="BP64" i="16"/>
  <c r="BQ59" i="24"/>
  <c r="BP63" i="16"/>
  <c r="BQ64" i="24"/>
  <c r="BQ61" i="24"/>
  <c r="BP75" i="24"/>
  <c r="BU68" i="24"/>
  <c r="BU67" i="24"/>
  <c r="BU66" i="24"/>
  <c r="BQ70" i="18"/>
  <c r="BQ71" i="18" s="1"/>
  <c r="BS66" i="16"/>
  <c r="BS68" i="16"/>
  <c r="BN75" i="26"/>
  <c r="BO59" i="26"/>
  <c r="BO60" i="26"/>
  <c r="BO62" i="26"/>
  <c r="BO64" i="26"/>
  <c r="BO63" i="26"/>
  <c r="BO61" i="26"/>
  <c r="BT68" i="26" l="1"/>
  <c r="BT66" i="26"/>
  <c r="BT72" i="26" s="1"/>
  <c r="BT73" i="26" s="1"/>
  <c r="BU67" i="26" s="1"/>
  <c r="BV72" i="18"/>
  <c r="BV73" i="18" s="1"/>
  <c r="BW66" i="18" s="1"/>
  <c r="BP70" i="16"/>
  <c r="BP71" i="16" s="1"/>
  <c r="BQ62" i="16" s="1"/>
  <c r="BQ70" i="24"/>
  <c r="BQ71" i="24" s="1"/>
  <c r="BR62" i="24" s="1"/>
  <c r="BU72" i="24"/>
  <c r="BU73" i="24" s="1"/>
  <c r="BV68" i="24" s="1"/>
  <c r="BR64" i="18"/>
  <c r="BR63" i="18"/>
  <c r="BR61" i="18"/>
  <c r="BR60" i="18"/>
  <c r="BR62" i="18"/>
  <c r="BQ75" i="18"/>
  <c r="BR59" i="18"/>
  <c r="BS72" i="16"/>
  <c r="BS73" i="16" s="1"/>
  <c r="BO70" i="26"/>
  <c r="BO71" i="26" s="1"/>
  <c r="BW67" i="18" l="1"/>
  <c r="BQ63" i="16"/>
  <c r="BU68" i="26"/>
  <c r="BW68" i="18"/>
  <c r="BW72" i="18" s="1"/>
  <c r="BW73" i="18" s="1"/>
  <c r="BX68" i="18" s="1"/>
  <c r="BQ64" i="16"/>
  <c r="BR64" i="24"/>
  <c r="BQ61" i="16"/>
  <c r="BP75" i="16"/>
  <c r="BR60" i="24"/>
  <c r="BR61" i="24"/>
  <c r="BQ60" i="16"/>
  <c r="BR63" i="24"/>
  <c r="BQ75" i="24"/>
  <c r="BQ59" i="16"/>
  <c r="BU66" i="26"/>
  <c r="BU72" i="26" s="1"/>
  <c r="BU73" i="26" s="1"/>
  <c r="BV66" i="26" s="1"/>
  <c r="BR59" i="24"/>
  <c r="BV66" i="24"/>
  <c r="BV67" i="24"/>
  <c r="BR70" i="18"/>
  <c r="BR71" i="18" s="1"/>
  <c r="BT66" i="16"/>
  <c r="BT68" i="16"/>
  <c r="BT67" i="16"/>
  <c r="BP64" i="26"/>
  <c r="BO75" i="26"/>
  <c r="BP60" i="26"/>
  <c r="BP61" i="26"/>
  <c r="BP62" i="26"/>
  <c r="BP63" i="26"/>
  <c r="BP59" i="26"/>
  <c r="BQ70" i="16" l="1"/>
  <c r="BQ71" i="16" s="1"/>
  <c r="BR61" i="16" s="1"/>
  <c r="BR70" i="24"/>
  <c r="BR71" i="24" s="1"/>
  <c r="BS62" i="24" s="1"/>
  <c r="BV72" i="24"/>
  <c r="BV73" i="24" s="1"/>
  <c r="BW68" i="24" s="1"/>
  <c r="BX66" i="18"/>
  <c r="BX67" i="18"/>
  <c r="BS60" i="18"/>
  <c r="BS63" i="18"/>
  <c r="BS64" i="18"/>
  <c r="BR75" i="18"/>
  <c r="BS62" i="18"/>
  <c r="BS61" i="18"/>
  <c r="BS59" i="18"/>
  <c r="BV67" i="26"/>
  <c r="BV68" i="26"/>
  <c r="BT72" i="16"/>
  <c r="BT73" i="16" s="1"/>
  <c r="BR63" i="16"/>
  <c r="BR59" i="16"/>
  <c r="BQ75" i="16"/>
  <c r="BP70" i="26"/>
  <c r="BP71" i="26" s="1"/>
  <c r="BR60" i="16" l="1"/>
  <c r="BS59" i="24"/>
  <c r="BS64" i="24"/>
  <c r="BS63" i="24"/>
  <c r="BR62" i="16"/>
  <c r="BS61" i="24"/>
  <c r="BR75" i="24"/>
  <c r="BS60" i="24"/>
  <c r="BR64" i="16"/>
  <c r="BX72" i="18"/>
  <c r="BX73" i="18" s="1"/>
  <c r="BY67" i="18" s="1"/>
  <c r="BW66" i="24"/>
  <c r="BW67" i="24"/>
  <c r="BS70" i="18"/>
  <c r="BS71" i="18" s="1"/>
  <c r="BV72" i="26"/>
  <c r="BV73" i="26" s="1"/>
  <c r="BW66" i="26" s="1"/>
  <c r="BU68" i="16"/>
  <c r="BU67" i="16"/>
  <c r="BU66" i="16"/>
  <c r="BR70" i="16"/>
  <c r="BR71" i="16" s="1"/>
  <c r="BQ62" i="26"/>
  <c r="BQ61" i="26"/>
  <c r="BQ64" i="26"/>
  <c r="BP75" i="26"/>
  <c r="BQ59" i="26"/>
  <c r="BQ60" i="26"/>
  <c r="BQ63" i="26"/>
  <c r="BS70" i="24" l="1"/>
  <c r="BS71" i="24" s="1"/>
  <c r="BT61" i="24" s="1"/>
  <c r="BY66" i="18"/>
  <c r="BY68" i="18"/>
  <c r="BW72" i="24"/>
  <c r="BW73" i="24" s="1"/>
  <c r="BX67" i="24" s="1"/>
  <c r="BT63" i="18"/>
  <c r="BT59" i="18"/>
  <c r="BS75" i="18"/>
  <c r="BT62" i="18"/>
  <c r="BT64" i="18"/>
  <c r="BT60" i="18"/>
  <c r="BT61" i="18"/>
  <c r="BW67" i="26"/>
  <c r="BW68" i="26"/>
  <c r="BU72" i="16"/>
  <c r="BU73" i="16" s="1"/>
  <c r="BV66" i="16" s="1"/>
  <c r="BT60" i="24"/>
  <c r="BT63" i="24"/>
  <c r="BT64" i="24"/>
  <c r="BS64" i="16"/>
  <c r="BS61" i="16"/>
  <c r="BS59" i="16"/>
  <c r="BS63" i="16"/>
  <c r="BR75" i="16"/>
  <c r="BS62" i="16"/>
  <c r="BS60" i="16"/>
  <c r="BQ70" i="26"/>
  <c r="BQ71" i="26" s="1"/>
  <c r="BS75" i="24" l="1"/>
  <c r="BT59" i="24"/>
  <c r="BT62" i="24"/>
  <c r="BY72" i="18"/>
  <c r="BY73" i="18" s="1"/>
  <c r="BZ68" i="18" s="1"/>
  <c r="BX68" i="24"/>
  <c r="BX66" i="24"/>
  <c r="BX72" i="24" s="1"/>
  <c r="BX73" i="24" s="1"/>
  <c r="BY68" i="24" s="1"/>
  <c r="BW72" i="26"/>
  <c r="BW73" i="26" s="1"/>
  <c r="BX66" i="26" s="1"/>
  <c r="BZ66" i="18"/>
  <c r="BZ67" i="18"/>
  <c r="BT70" i="18"/>
  <c r="BT71" i="18" s="1"/>
  <c r="BV68" i="16"/>
  <c r="BV67" i="16"/>
  <c r="BT70" i="24"/>
  <c r="BT71" i="24" s="1"/>
  <c r="BS70" i="16"/>
  <c r="BS71" i="16" s="1"/>
  <c r="BR64" i="26"/>
  <c r="BR63" i="26"/>
  <c r="BR60" i="26"/>
  <c r="BR62" i="26"/>
  <c r="BQ75" i="26"/>
  <c r="BR59" i="26"/>
  <c r="BR61" i="26"/>
  <c r="BY67" i="24" l="1"/>
  <c r="BY66" i="24"/>
  <c r="BX68" i="26"/>
  <c r="BZ72" i="18"/>
  <c r="BZ73" i="18" s="1"/>
  <c r="CA67" i="18" s="1"/>
  <c r="BX67" i="26"/>
  <c r="BT75" i="18"/>
  <c r="BU61" i="18"/>
  <c r="BU59" i="18"/>
  <c r="BU64" i="18"/>
  <c r="BU63" i="18"/>
  <c r="BU60" i="18"/>
  <c r="BU62" i="18"/>
  <c r="BV72" i="16"/>
  <c r="BV73" i="16" s="1"/>
  <c r="BW68" i="16" s="1"/>
  <c r="BU64" i="24"/>
  <c r="BU61" i="24"/>
  <c r="BU60" i="24"/>
  <c r="BU59" i="24"/>
  <c r="BU62" i="24"/>
  <c r="BU63" i="24"/>
  <c r="BT75" i="24"/>
  <c r="BT60" i="16"/>
  <c r="BT64" i="16"/>
  <c r="BS75" i="16"/>
  <c r="BT59" i="16"/>
  <c r="BT61" i="16"/>
  <c r="BT62" i="16"/>
  <c r="BT63" i="16"/>
  <c r="BR70" i="26"/>
  <c r="BR71" i="26" s="1"/>
  <c r="BY72" i="24" l="1"/>
  <c r="BY73" i="24" s="1"/>
  <c r="BZ67" i="24" s="1"/>
  <c r="BX72" i="26"/>
  <c r="BX73" i="26" s="1"/>
  <c r="BY66" i="26" s="1"/>
  <c r="CA66" i="18"/>
  <c r="CA68" i="18"/>
  <c r="BU70" i="18"/>
  <c r="BU71" i="18" s="1"/>
  <c r="BW67" i="16"/>
  <c r="BW66" i="16"/>
  <c r="BU70" i="24"/>
  <c r="BU71" i="24" s="1"/>
  <c r="BT70" i="16"/>
  <c r="BT71" i="16" s="1"/>
  <c r="BU64" i="16" s="1"/>
  <c r="BR75" i="26"/>
  <c r="BS59" i="26"/>
  <c r="BS61" i="26"/>
  <c r="BS62" i="26"/>
  <c r="BS63" i="26"/>
  <c r="BS60" i="26"/>
  <c r="BS64" i="26"/>
  <c r="BZ66" i="24" l="1"/>
  <c r="BZ68" i="24"/>
  <c r="BY67" i="26"/>
  <c r="BY68" i="26"/>
  <c r="CA72" i="18"/>
  <c r="CA73" i="18" s="1"/>
  <c r="CB66" i="18" s="1"/>
  <c r="BZ72" i="24"/>
  <c r="BZ73" i="24" s="1"/>
  <c r="CA68" i="24" s="1"/>
  <c r="BW72" i="16"/>
  <c r="BW73" i="16" s="1"/>
  <c r="BX67" i="16" s="1"/>
  <c r="BV61" i="18"/>
  <c r="BV62" i="18"/>
  <c r="BV63" i="18"/>
  <c r="BV64" i="18"/>
  <c r="BV60" i="18"/>
  <c r="BU75" i="18"/>
  <c r="BV59" i="18"/>
  <c r="BX66" i="16"/>
  <c r="BV63" i="24"/>
  <c r="BV61" i="24"/>
  <c r="BU75" i="24"/>
  <c r="BV62" i="24"/>
  <c r="BV60" i="24"/>
  <c r="BV64" i="24"/>
  <c r="BV59" i="24"/>
  <c r="BU59" i="16"/>
  <c r="BU63" i="16"/>
  <c r="BU61" i="16"/>
  <c r="BU60" i="16"/>
  <c r="BU62" i="16"/>
  <c r="BT75" i="16"/>
  <c r="BS70" i="26"/>
  <c r="BS71" i="26" s="1"/>
  <c r="BY72" i="26" l="1"/>
  <c r="BY73" i="26" s="1"/>
  <c r="BZ68" i="26" s="1"/>
  <c r="CB67" i="18"/>
  <c r="CB68" i="18"/>
  <c r="CA66" i="24"/>
  <c r="CA67" i="24"/>
  <c r="BX68" i="16"/>
  <c r="BX72" i="16" s="1"/>
  <c r="BX73" i="16" s="1"/>
  <c r="BV70" i="18"/>
  <c r="BV71" i="18" s="1"/>
  <c r="BV70" i="24"/>
  <c r="BV71" i="24" s="1"/>
  <c r="BU70" i="16"/>
  <c r="BU71" i="16" s="1"/>
  <c r="BV64" i="16" s="1"/>
  <c r="BT61" i="26"/>
  <c r="BT59" i="26"/>
  <c r="BS75" i="26"/>
  <c r="BT63" i="26"/>
  <c r="BT64" i="26"/>
  <c r="BT62" i="26"/>
  <c r="BT60" i="26"/>
  <c r="BZ66" i="26" l="1"/>
  <c r="BZ67" i="26"/>
  <c r="CB72" i="18"/>
  <c r="CB73" i="18" s="1"/>
  <c r="CA72" i="24"/>
  <c r="CA73" i="24" s="1"/>
  <c r="BY66" i="16"/>
  <c r="BY67" i="16"/>
  <c r="BY68" i="16"/>
  <c r="BZ72" i="26"/>
  <c r="BZ73" i="26" s="1"/>
  <c r="CA67" i="26" s="1"/>
  <c r="CC67" i="18"/>
  <c r="CC66" i="18"/>
  <c r="CC68" i="18"/>
  <c r="BW59" i="18"/>
  <c r="BV75" i="18"/>
  <c r="BW61" i="18"/>
  <c r="BW64" i="18"/>
  <c r="BW63" i="18"/>
  <c r="BW62" i="18"/>
  <c r="BW60" i="18"/>
  <c r="BW60" i="24"/>
  <c r="BW63" i="24"/>
  <c r="BW59" i="24"/>
  <c r="BW61" i="24"/>
  <c r="BW62" i="24"/>
  <c r="BV75" i="24"/>
  <c r="BW64" i="24"/>
  <c r="BV59" i="16"/>
  <c r="BV62" i="16"/>
  <c r="BV60" i="16"/>
  <c r="BV63" i="16"/>
  <c r="BU75" i="16"/>
  <c r="BV61" i="16"/>
  <c r="BT70" i="26"/>
  <c r="BT71" i="26" s="1"/>
  <c r="BY72" i="16" l="1"/>
  <c r="BY73" i="16" s="1"/>
  <c r="BZ66" i="16" s="1"/>
  <c r="CA68" i="26"/>
  <c r="CB66" i="24"/>
  <c r="CB67" i="24"/>
  <c r="CB68" i="24"/>
  <c r="CA66" i="26"/>
  <c r="CA72" i="26" s="1"/>
  <c r="CA73" i="26" s="1"/>
  <c r="CB67" i="26" s="1"/>
  <c r="CC72" i="18"/>
  <c r="CC73" i="18" s="1"/>
  <c r="BW70" i="18"/>
  <c r="BW71" i="18" s="1"/>
  <c r="BW70" i="24"/>
  <c r="BW71" i="24" s="1"/>
  <c r="BX61" i="24" s="1"/>
  <c r="BV70" i="16"/>
  <c r="BV71" i="16" s="1"/>
  <c r="BW60" i="16" s="1"/>
  <c r="BT75" i="26"/>
  <c r="BU59" i="26"/>
  <c r="BU63" i="26"/>
  <c r="BU64" i="26"/>
  <c r="BU60" i="26"/>
  <c r="BU61" i="26"/>
  <c r="BU62" i="26"/>
  <c r="BZ68" i="16" l="1"/>
  <c r="BZ67" i="16"/>
  <c r="CB72" i="24"/>
  <c r="CB73" i="24" s="1"/>
  <c r="BX59" i="24"/>
  <c r="CD66" i="18"/>
  <c r="CD67" i="18"/>
  <c r="CD68" i="18"/>
  <c r="BX64" i="24"/>
  <c r="BX60" i="24"/>
  <c r="BW75" i="18"/>
  <c r="BX60" i="18"/>
  <c r="BX64" i="18"/>
  <c r="BX62" i="18"/>
  <c r="BX61" i="18"/>
  <c r="BX59" i="18"/>
  <c r="BX63" i="18"/>
  <c r="BW75" i="24"/>
  <c r="BX62" i="24"/>
  <c r="BX63" i="24"/>
  <c r="BW61" i="16"/>
  <c r="BW59" i="16"/>
  <c r="BW64" i="16"/>
  <c r="BW62" i="16"/>
  <c r="BV75" i="16"/>
  <c r="BW63" i="16"/>
  <c r="CB66" i="26"/>
  <c r="CB68" i="26"/>
  <c r="BU70" i="26"/>
  <c r="BU71" i="26" s="1"/>
  <c r="BZ72" i="16" l="1"/>
  <c r="BZ73" i="16" s="1"/>
  <c r="CA68" i="16" s="1"/>
  <c r="CC66" i="24"/>
  <c r="CC68" i="24"/>
  <c r="CC67" i="24"/>
  <c r="CD72" i="18"/>
  <c r="CD73" i="18" s="1"/>
  <c r="BX70" i="24"/>
  <c r="BX71" i="24" s="1"/>
  <c r="BX75" i="24" s="1"/>
  <c r="BX70" i="18"/>
  <c r="BX71" i="18" s="1"/>
  <c r="BW70" i="16"/>
  <c r="BW71" i="16" s="1"/>
  <c r="BX63" i="16" s="1"/>
  <c r="CB72" i="26"/>
  <c r="CB73" i="26" s="1"/>
  <c r="CC66" i="26" s="1"/>
  <c r="BU75" i="26"/>
  <c r="BV63" i="26"/>
  <c r="BV59" i="26"/>
  <c r="BV60" i="26"/>
  <c r="BV64" i="26"/>
  <c r="BV61" i="26"/>
  <c r="BV62" i="26"/>
  <c r="CA66" i="16" l="1"/>
  <c r="CA67" i="16"/>
  <c r="BY60" i="24"/>
  <c r="BY62" i="24"/>
  <c r="BY64" i="24"/>
  <c r="BY63" i="24"/>
  <c r="BY61" i="24"/>
  <c r="CC72" i="24"/>
  <c r="CC73" i="24" s="1"/>
  <c r="CE67" i="18"/>
  <c r="CE68" i="18"/>
  <c r="CE66" i="18"/>
  <c r="BY59" i="24"/>
  <c r="BX75" i="18"/>
  <c r="BY59" i="18"/>
  <c r="BY62" i="18"/>
  <c r="BY64" i="18"/>
  <c r="BY60" i="18"/>
  <c r="BY63" i="18"/>
  <c r="BY61" i="18"/>
  <c r="CC68" i="26"/>
  <c r="BX59" i="16"/>
  <c r="BX61" i="16"/>
  <c r="BX62" i="16"/>
  <c r="BW75" i="16"/>
  <c r="BX60" i="16"/>
  <c r="BX64" i="16"/>
  <c r="CC67" i="26"/>
  <c r="BV70" i="26"/>
  <c r="BV71" i="26" s="1"/>
  <c r="CA72" i="16" l="1"/>
  <c r="CA73" i="16" s="1"/>
  <c r="CB67" i="16" s="1"/>
  <c r="CC72" i="26"/>
  <c r="CC73" i="26" s="1"/>
  <c r="CD66" i="26" s="1"/>
  <c r="BY70" i="24"/>
  <c r="BY71" i="24" s="1"/>
  <c r="BZ64" i="24" s="1"/>
  <c r="CE72" i="18"/>
  <c r="CE73" i="18" s="1"/>
  <c r="CF68" i="18" s="1"/>
  <c r="CD68" i="24"/>
  <c r="CD67" i="24"/>
  <c r="CD66" i="24"/>
  <c r="BY70" i="18"/>
  <c r="BY71" i="18" s="1"/>
  <c r="BX70" i="16"/>
  <c r="BX71" i="16" s="1"/>
  <c r="BW61" i="26"/>
  <c r="BV75" i="26"/>
  <c r="BW63" i="26"/>
  <c r="BW60" i="26"/>
  <c r="BW59" i="26"/>
  <c r="BW62" i="26"/>
  <c r="BW64" i="26"/>
  <c r="CB66" i="16" l="1"/>
  <c r="CB68" i="16"/>
  <c r="CB72" i="16" s="1"/>
  <c r="CB73" i="16" s="1"/>
  <c r="CD68" i="26"/>
  <c r="BZ59" i="24"/>
  <c r="CF66" i="18"/>
  <c r="CD67" i="26"/>
  <c r="CF67" i="18"/>
  <c r="BZ60" i="24"/>
  <c r="BZ61" i="24"/>
  <c r="BZ63" i="24"/>
  <c r="BZ62" i="24"/>
  <c r="BY75" i="24"/>
  <c r="CD72" i="24"/>
  <c r="CD73" i="24" s="1"/>
  <c r="BZ63" i="18"/>
  <c r="BZ60" i="18"/>
  <c r="BZ62" i="18"/>
  <c r="BZ59" i="18"/>
  <c r="BY75" i="18"/>
  <c r="BZ64" i="18"/>
  <c r="BZ61" i="18"/>
  <c r="BX75" i="16"/>
  <c r="BY63" i="16"/>
  <c r="BY60" i="16"/>
  <c r="BY62" i="16"/>
  <c r="BY64" i="16"/>
  <c r="BY61" i="16"/>
  <c r="BY59" i="16"/>
  <c r="BW70" i="26"/>
  <c r="BW71" i="26" s="1"/>
  <c r="CD72" i="26" l="1"/>
  <c r="CD73" i="26" s="1"/>
  <c r="CE68" i="26" s="1"/>
  <c r="CC67" i="16"/>
  <c r="CC68" i="16"/>
  <c r="CC66" i="16"/>
  <c r="BZ70" i="24"/>
  <c r="BZ71" i="24" s="1"/>
  <c r="CA63" i="24" s="1"/>
  <c r="CF72" i="18"/>
  <c r="CF73" i="18" s="1"/>
  <c r="CG68" i="18" s="1"/>
  <c r="CE67" i="24"/>
  <c r="CE68" i="24"/>
  <c r="CE66" i="24"/>
  <c r="BZ70" i="18"/>
  <c r="BZ71" i="18" s="1"/>
  <c r="CA63" i="18" s="1"/>
  <c r="BY70" i="16"/>
  <c r="BY71" i="16" s="1"/>
  <c r="BZ62" i="16" s="1"/>
  <c r="BX60" i="26"/>
  <c r="BX59" i="26"/>
  <c r="BX61" i="26"/>
  <c r="BW75" i="26"/>
  <c r="BX62" i="26"/>
  <c r="BX64" i="26"/>
  <c r="BX63" i="26"/>
  <c r="CE67" i="26" l="1"/>
  <c r="CC72" i="16"/>
  <c r="CC73" i="16" s="1"/>
  <c r="CD68" i="16" s="1"/>
  <c r="CE66" i="26"/>
  <c r="CA61" i="24"/>
  <c r="CA60" i="24"/>
  <c r="CA62" i="24"/>
  <c r="CA59" i="24"/>
  <c r="CA64" i="24"/>
  <c r="BZ75" i="24"/>
  <c r="BZ75" i="18"/>
  <c r="CG66" i="18"/>
  <c r="CG67" i="18"/>
  <c r="CA62" i="18"/>
  <c r="CA64" i="18"/>
  <c r="CE72" i="24"/>
  <c r="CE73" i="24" s="1"/>
  <c r="CF67" i="24" s="1"/>
  <c r="CA59" i="18"/>
  <c r="CA60" i="18"/>
  <c r="CA61" i="18"/>
  <c r="CE72" i="26"/>
  <c r="CE73" i="26" s="1"/>
  <c r="CF68" i="26" s="1"/>
  <c r="BZ59" i="16"/>
  <c r="BZ60" i="16"/>
  <c r="BZ64" i="16"/>
  <c r="BZ61" i="16"/>
  <c r="BY75" i="16"/>
  <c r="BZ63" i="16"/>
  <c r="BX70" i="26"/>
  <c r="BX71" i="26" s="1"/>
  <c r="CD67" i="16" l="1"/>
  <c r="CD66" i="16"/>
  <c r="CD72" i="16" s="1"/>
  <c r="CD73" i="16" s="1"/>
  <c r="CF68" i="24"/>
  <c r="CA70" i="24"/>
  <c r="CA71" i="24" s="1"/>
  <c r="CB64" i="24" s="1"/>
  <c r="CG72" i="18"/>
  <c r="CG73" i="18" s="1"/>
  <c r="CH67" i="18" s="1"/>
  <c r="CF66" i="24"/>
  <c r="CA70" i="18"/>
  <c r="CA71" i="18" s="1"/>
  <c r="CB60" i="18" s="1"/>
  <c r="CF66" i="26"/>
  <c r="CF67" i="26"/>
  <c r="BZ70" i="16"/>
  <c r="BZ71" i="16" s="1"/>
  <c r="CA63" i="16" s="1"/>
  <c r="BX75" i="26"/>
  <c r="BY62" i="26"/>
  <c r="BY60" i="26"/>
  <c r="BY61" i="26"/>
  <c r="BY59" i="26"/>
  <c r="BY64" i="26"/>
  <c r="BY63" i="26"/>
  <c r="CE66" i="16" l="1"/>
  <c r="CE68" i="16"/>
  <c r="CE67" i="16"/>
  <c r="CB61" i="24"/>
  <c r="CB62" i="24"/>
  <c r="CF72" i="24"/>
  <c r="CF73" i="24" s="1"/>
  <c r="CG68" i="24" s="1"/>
  <c r="CA75" i="24"/>
  <c r="CB60" i="24"/>
  <c r="CB59" i="24"/>
  <c r="CB63" i="24"/>
  <c r="CH68" i="18"/>
  <c r="CH66" i="18"/>
  <c r="CB59" i="18"/>
  <c r="CB64" i="18"/>
  <c r="CA75" i="18"/>
  <c r="CB61" i="18"/>
  <c r="CB63" i="18"/>
  <c r="CB62" i="18"/>
  <c r="CF72" i="26"/>
  <c r="CF73" i="26" s="1"/>
  <c r="CG66" i="26" s="1"/>
  <c r="CA61" i="16"/>
  <c r="CA62" i="16"/>
  <c r="CA59" i="16"/>
  <c r="BZ75" i="16"/>
  <c r="CA64" i="16"/>
  <c r="CA60" i="16"/>
  <c r="BY70" i="26"/>
  <c r="BY71" i="26" s="1"/>
  <c r="CE72" i="16" l="1"/>
  <c r="CE73" i="16" s="1"/>
  <c r="CF67" i="16" s="1"/>
  <c r="CG67" i="24"/>
  <c r="CG66" i="24"/>
  <c r="CB70" i="24"/>
  <c r="CB71" i="24" s="1"/>
  <c r="CC62" i="24" s="1"/>
  <c r="CH72" i="18"/>
  <c r="CH73" i="18" s="1"/>
  <c r="CI67" i="18" s="1"/>
  <c r="CB70" i="18"/>
  <c r="CB71" i="18" s="1"/>
  <c r="CC63" i="18" s="1"/>
  <c r="CG72" i="24"/>
  <c r="CG73" i="24" s="1"/>
  <c r="CG67" i="26"/>
  <c r="CG68" i="26"/>
  <c r="CA70" i="16"/>
  <c r="CA71" i="16" s="1"/>
  <c r="CB63" i="16" s="1"/>
  <c r="BZ59" i="26"/>
  <c r="BY75" i="26"/>
  <c r="BZ60" i="26"/>
  <c r="BZ61" i="26"/>
  <c r="BZ64" i="26"/>
  <c r="BZ63" i="26"/>
  <c r="BZ62" i="26"/>
  <c r="CF66" i="16" l="1"/>
  <c r="CF68" i="16"/>
  <c r="CB75" i="24"/>
  <c r="CC60" i="24"/>
  <c r="CC64" i="24"/>
  <c r="CC61" i="24"/>
  <c r="CC63" i="24"/>
  <c r="CC59" i="24"/>
  <c r="CI68" i="18"/>
  <c r="CI66" i="18"/>
  <c r="CF72" i="16"/>
  <c r="CF73" i="16" s="1"/>
  <c r="CG68" i="16" s="1"/>
  <c r="CC60" i="18"/>
  <c r="CC62" i="18"/>
  <c r="CB75" i="18"/>
  <c r="CC64" i="18"/>
  <c r="CC59" i="18"/>
  <c r="CC61" i="18"/>
  <c r="CH68" i="24"/>
  <c r="CH67" i="24"/>
  <c r="CH66" i="24"/>
  <c r="CB61" i="16"/>
  <c r="CG72" i="26"/>
  <c r="CG73" i="26" s="1"/>
  <c r="CH67" i="26" s="1"/>
  <c r="CB59" i="16"/>
  <c r="CA75" i="16"/>
  <c r="CB64" i="16"/>
  <c r="CB60" i="16"/>
  <c r="CB62" i="16"/>
  <c r="BZ70" i="26"/>
  <c r="BZ71" i="26" s="1"/>
  <c r="CC70" i="24" l="1"/>
  <c r="CC71" i="24" s="1"/>
  <c r="CD64" i="24" s="1"/>
  <c r="CI72" i="18"/>
  <c r="CI73" i="18" s="1"/>
  <c r="CJ67" i="18" s="1"/>
  <c r="CG66" i="16"/>
  <c r="CG67" i="16"/>
  <c r="CC70" i="18"/>
  <c r="CC71" i="18" s="1"/>
  <c r="CD63" i="18" s="1"/>
  <c r="CH72" i="24"/>
  <c r="CH73" i="24" s="1"/>
  <c r="CI66" i="24" s="1"/>
  <c r="CH66" i="26"/>
  <c r="CH68" i="26"/>
  <c r="CB70" i="16"/>
  <c r="CB71" i="16" s="1"/>
  <c r="CB75" i="16" s="1"/>
  <c r="CA59" i="26"/>
  <c r="CA63" i="26"/>
  <c r="CA61" i="26"/>
  <c r="CA60" i="26"/>
  <c r="BZ75" i="26"/>
  <c r="CA62" i="26"/>
  <c r="CA64" i="26"/>
  <c r="CD61" i="24" l="1"/>
  <c r="CC75" i="24"/>
  <c r="CD59" i="24"/>
  <c r="CD62" i="24"/>
  <c r="CD63" i="24"/>
  <c r="CD60" i="24"/>
  <c r="CJ66" i="18"/>
  <c r="CJ68" i="18"/>
  <c r="CG72" i="16"/>
  <c r="CG73" i="16" s="1"/>
  <c r="CD59" i="18"/>
  <c r="CD60" i="18"/>
  <c r="CC75" i="18"/>
  <c r="CD64" i="18"/>
  <c r="CD62" i="18"/>
  <c r="CD61" i="18"/>
  <c r="CI68" i="24"/>
  <c r="CI67" i="24"/>
  <c r="CC62" i="16"/>
  <c r="CC59" i="16"/>
  <c r="CC60" i="16"/>
  <c r="CH72" i="26"/>
  <c r="CH73" i="26" s="1"/>
  <c r="CI68" i="26" s="1"/>
  <c r="CC63" i="16"/>
  <c r="CC64" i="16"/>
  <c r="CC61" i="16"/>
  <c r="CA70" i="26"/>
  <c r="CA71" i="26" s="1"/>
  <c r="CD70" i="24" l="1"/>
  <c r="CD71" i="24" s="1"/>
  <c r="CE62" i="24" s="1"/>
  <c r="CJ72" i="18"/>
  <c r="CJ73" i="18" s="1"/>
  <c r="CK68" i="18" s="1"/>
  <c r="CH68" i="16"/>
  <c r="CH66" i="16"/>
  <c r="CH67" i="16"/>
  <c r="CI72" i="24"/>
  <c r="CI73" i="24" s="1"/>
  <c r="CJ68" i="24" s="1"/>
  <c r="CD70" i="18"/>
  <c r="CD71" i="18" s="1"/>
  <c r="CE60" i="18" s="1"/>
  <c r="CC70" i="16"/>
  <c r="CC71" i="16" s="1"/>
  <c r="CD62" i="16" s="1"/>
  <c r="CI66" i="26"/>
  <c r="CI67" i="26"/>
  <c r="CB60" i="26"/>
  <c r="CB63" i="26"/>
  <c r="CB61" i="26"/>
  <c r="CA75" i="26"/>
  <c r="CB62" i="26"/>
  <c r="CB64" i="26"/>
  <c r="CB59" i="26"/>
  <c r="CE63" i="24" l="1"/>
  <c r="CE60" i="24"/>
  <c r="CE61" i="24"/>
  <c r="CD75" i="24"/>
  <c r="CE59" i="24"/>
  <c r="CE64" i="24"/>
  <c r="CK67" i="18"/>
  <c r="CK66" i="18"/>
  <c r="CK72" i="18" s="1"/>
  <c r="CK73" i="18" s="1"/>
  <c r="CE64" i="18"/>
  <c r="CJ67" i="24"/>
  <c r="CJ66" i="24"/>
  <c r="CD75" i="18"/>
  <c r="CH72" i="16"/>
  <c r="CH73" i="16" s="1"/>
  <c r="CE61" i="18"/>
  <c r="CE63" i="18"/>
  <c r="CE59" i="18"/>
  <c r="CE62" i="18"/>
  <c r="CD63" i="16"/>
  <c r="CI72" i="26"/>
  <c r="CI73" i="26" s="1"/>
  <c r="CJ66" i="26" s="1"/>
  <c r="CD61" i="16"/>
  <c r="CD60" i="16"/>
  <c r="CD59" i="16"/>
  <c r="CD64" i="16"/>
  <c r="CC75" i="16"/>
  <c r="CB70" i="26"/>
  <c r="CB71" i="26" s="1"/>
  <c r="CC63" i="26" s="1"/>
  <c r="CE70" i="24" l="1"/>
  <c r="CE71" i="24" s="1"/>
  <c r="CJ72" i="24"/>
  <c r="CJ73" i="24" s="1"/>
  <c r="CK67" i="24" s="1"/>
  <c r="CI68" i="16"/>
  <c r="CI66" i="16"/>
  <c r="CI67" i="16"/>
  <c r="CL67" i="18"/>
  <c r="CL66" i="18"/>
  <c r="CE70" i="18"/>
  <c r="CE71" i="18" s="1"/>
  <c r="CF64" i="18" s="1"/>
  <c r="CL68" i="18"/>
  <c r="CJ67" i="26"/>
  <c r="CJ68" i="26"/>
  <c r="CC61" i="26"/>
  <c r="CC64" i="26"/>
  <c r="CC60" i="26"/>
  <c r="CC62" i="26"/>
  <c r="CD70" i="16"/>
  <c r="CD71" i="16" s="1"/>
  <c r="CE59" i="16" s="1"/>
  <c r="CC59" i="26"/>
  <c r="CB75" i="26"/>
  <c r="CF60" i="24" l="1"/>
  <c r="CF61" i="24"/>
  <c r="CF62" i="24"/>
  <c r="CF59" i="24"/>
  <c r="CF70" i="24" s="1"/>
  <c r="CF71" i="24" s="1"/>
  <c r="CG64" i="24" s="1"/>
  <c r="CE75" i="24"/>
  <c r="CF64" i="24"/>
  <c r="CF63" i="24"/>
  <c r="CK68" i="24"/>
  <c r="CK66" i="24"/>
  <c r="CI72" i="16"/>
  <c r="CI73" i="16" s="1"/>
  <c r="CJ72" i="26"/>
  <c r="CJ73" i="26" s="1"/>
  <c r="CK66" i="26" s="1"/>
  <c r="CF61" i="18"/>
  <c r="CE75" i="18"/>
  <c r="CF62" i="18"/>
  <c r="CL72" i="18"/>
  <c r="CL73" i="18" s="1"/>
  <c r="CM66" i="18" s="1"/>
  <c r="CF63" i="18"/>
  <c r="CF60" i="18"/>
  <c r="CF59" i="18"/>
  <c r="CC70" i="26"/>
  <c r="CC71" i="26" s="1"/>
  <c r="CC75" i="26" s="1"/>
  <c r="CE60" i="16"/>
  <c r="CE62" i="16"/>
  <c r="CE61" i="16"/>
  <c r="CD75" i="16"/>
  <c r="CE63" i="16"/>
  <c r="CE64" i="16"/>
  <c r="CF75" i="24" l="1"/>
  <c r="CG60" i="24"/>
  <c r="CG63" i="24"/>
  <c r="CG61" i="24"/>
  <c r="CG59" i="24"/>
  <c r="CG62" i="24"/>
  <c r="CK72" i="24"/>
  <c r="CK73" i="24" s="1"/>
  <c r="CL66" i="24" s="1"/>
  <c r="CM68" i="18"/>
  <c r="CK67" i="26"/>
  <c r="CK68" i="26"/>
  <c r="CK72" i="26" s="1"/>
  <c r="CK73" i="26" s="1"/>
  <c r="CL67" i="26" s="1"/>
  <c r="CJ67" i="16"/>
  <c r="CJ66" i="16"/>
  <c r="CJ68" i="16"/>
  <c r="CD60" i="26"/>
  <c r="CD63" i="26"/>
  <c r="CF70" i="18"/>
  <c r="CF71" i="18" s="1"/>
  <c r="CG60" i="18" s="1"/>
  <c r="CM67" i="18"/>
  <c r="CM72" i="18" s="1"/>
  <c r="CM73" i="18" s="1"/>
  <c r="CN68" i="18" s="1"/>
  <c r="CD61" i="26"/>
  <c r="CD64" i="26"/>
  <c r="CD62" i="26"/>
  <c r="CD59" i="26"/>
  <c r="CE70" i="16"/>
  <c r="CE71" i="16" s="1"/>
  <c r="CF61" i="16" s="1"/>
  <c r="CG70" i="24" l="1"/>
  <c r="CG71" i="24" s="1"/>
  <c r="CH64" i="24" s="1"/>
  <c r="CL68" i="24"/>
  <c r="CL67" i="24"/>
  <c r="CL72" i="24" s="1"/>
  <c r="CL73" i="24" s="1"/>
  <c r="CM67" i="24" s="1"/>
  <c r="CG62" i="18"/>
  <c r="CG63" i="18"/>
  <c r="CG61" i="18"/>
  <c r="CG59" i="18"/>
  <c r="CJ72" i="16"/>
  <c r="CJ73" i="16" s="1"/>
  <c r="CG75" i="24"/>
  <c r="CH62" i="24"/>
  <c r="CF75" i="18"/>
  <c r="CH59" i="24"/>
  <c r="CG64" i="18"/>
  <c r="CH61" i="24"/>
  <c r="CN66" i="18"/>
  <c r="CN67" i="18"/>
  <c r="CM68" i="24"/>
  <c r="CF64" i="16"/>
  <c r="CD70" i="26"/>
  <c r="CD71" i="26" s="1"/>
  <c r="CE60" i="26" s="1"/>
  <c r="CF60" i="16"/>
  <c r="CF62" i="16"/>
  <c r="CF59" i="16"/>
  <c r="CF63" i="16"/>
  <c r="CE75" i="16"/>
  <c r="CL66" i="26"/>
  <c r="CL68" i="26"/>
  <c r="CH60" i="24" l="1"/>
  <c r="CH63" i="24"/>
  <c r="CM66" i="24"/>
  <c r="CN72" i="18"/>
  <c r="CN73" i="18" s="1"/>
  <c r="CO66" i="18" s="1"/>
  <c r="CG70" i="18"/>
  <c r="CG71" i="18" s="1"/>
  <c r="CH64" i="18" s="1"/>
  <c r="CH70" i="24"/>
  <c r="CH71" i="24" s="1"/>
  <c r="CI63" i="24" s="1"/>
  <c r="CK68" i="16"/>
  <c r="CK67" i="16"/>
  <c r="CK66" i="16"/>
  <c r="CE59" i="26"/>
  <c r="CF70" i="16"/>
  <c r="CF71" i="16" s="1"/>
  <c r="CG60" i="16" s="1"/>
  <c r="CM72" i="24"/>
  <c r="CM73" i="24" s="1"/>
  <c r="CN67" i="24" s="1"/>
  <c r="CE61" i="26"/>
  <c r="CE63" i="26"/>
  <c r="CE62" i="26"/>
  <c r="CD75" i="26"/>
  <c r="CE64" i="26"/>
  <c r="CH60" i="18"/>
  <c r="CG75" i="18"/>
  <c r="CL72" i="26"/>
  <c r="CL73" i="26" s="1"/>
  <c r="CM68" i="26" s="1"/>
  <c r="CH59" i="18" l="1"/>
  <c r="CO67" i="18"/>
  <c r="CO68" i="18"/>
  <c r="CI60" i="24"/>
  <c r="CH63" i="18"/>
  <c r="CH75" i="24"/>
  <c r="CH61" i="18"/>
  <c r="CI62" i="24"/>
  <c r="CI64" i="24"/>
  <c r="CG59" i="16"/>
  <c r="CG63" i="16"/>
  <c r="CI59" i="24"/>
  <c r="CK72" i="16"/>
  <c r="CK73" i="16" s="1"/>
  <c r="CL66" i="16" s="1"/>
  <c r="CI61" i="24"/>
  <c r="CN66" i="24"/>
  <c r="CH62" i="18"/>
  <c r="CN68" i="24"/>
  <c r="CE70" i="26"/>
  <c r="CE71" i="26" s="1"/>
  <c r="CF60" i="26" s="1"/>
  <c r="CF75" i="16"/>
  <c r="CG61" i="16"/>
  <c r="CG64" i="16"/>
  <c r="CG62" i="16"/>
  <c r="CM66" i="26"/>
  <c r="CM67" i="26"/>
  <c r="CO72" i="18" l="1"/>
  <c r="CO73" i="18" s="1"/>
  <c r="CP68" i="18" s="1"/>
  <c r="CN72" i="24"/>
  <c r="CN73" i="24" s="1"/>
  <c r="CO68" i="24" s="1"/>
  <c r="CH70" i="18"/>
  <c r="CH71" i="18" s="1"/>
  <c r="CI62" i="18" s="1"/>
  <c r="CI70" i="24"/>
  <c r="CI71" i="24" s="1"/>
  <c r="CJ64" i="24" s="1"/>
  <c r="CP67" i="18"/>
  <c r="CP66" i="18"/>
  <c r="CF64" i="26"/>
  <c r="CL68" i="16"/>
  <c r="CL67" i="16"/>
  <c r="CG70" i="16"/>
  <c r="CG71" i="16" s="1"/>
  <c r="CH64" i="16" s="1"/>
  <c r="CE75" i="26"/>
  <c r="CF62" i="26"/>
  <c r="CF61" i="26"/>
  <c r="CF63" i="26"/>
  <c r="CF59" i="26"/>
  <c r="CI64" i="18"/>
  <c r="CI59" i="18"/>
  <c r="CH75" i="18"/>
  <c r="CM72" i="26"/>
  <c r="CM73" i="26" s="1"/>
  <c r="CN67" i="26" s="1"/>
  <c r="CI63" i="18" l="1"/>
  <c r="CI61" i="18"/>
  <c r="CI60" i="18"/>
  <c r="CO67" i="24"/>
  <c r="CO66" i="24"/>
  <c r="CO72" i="24" s="1"/>
  <c r="CO73" i="24" s="1"/>
  <c r="CP66" i="24" s="1"/>
  <c r="CJ62" i="24"/>
  <c r="CI75" i="24"/>
  <c r="CJ63" i="24"/>
  <c r="CJ60" i="24"/>
  <c r="CP72" i="18"/>
  <c r="CP73" i="18" s="1"/>
  <c r="CQ66" i="18" s="1"/>
  <c r="CH63" i="16"/>
  <c r="CJ61" i="24"/>
  <c r="CJ59" i="24"/>
  <c r="CH62" i="16"/>
  <c r="CH61" i="16"/>
  <c r="CH60" i="16"/>
  <c r="CH59" i="16"/>
  <c r="CL72" i="16"/>
  <c r="CL73" i="16" s="1"/>
  <c r="CM66" i="16" s="1"/>
  <c r="CG75" i="16"/>
  <c r="CF70" i="26"/>
  <c r="CF71" i="26" s="1"/>
  <c r="CG61" i="26" s="1"/>
  <c r="CI70" i="18"/>
  <c r="CI71" i="18" s="1"/>
  <c r="CJ64" i="18" s="1"/>
  <c r="CN66" i="26"/>
  <c r="CN68" i="26"/>
  <c r="CQ67" i="18" l="1"/>
  <c r="CJ70" i="24"/>
  <c r="CJ71" i="24" s="1"/>
  <c r="CK63" i="24" s="1"/>
  <c r="CQ68" i="18"/>
  <c r="CJ59" i="18"/>
  <c r="CI75" i="18"/>
  <c r="CH70" i="16"/>
  <c r="CH71" i="16" s="1"/>
  <c r="CI63" i="16" s="1"/>
  <c r="CG63" i="26"/>
  <c r="CM67" i="16"/>
  <c r="CF75" i="26"/>
  <c r="CG64" i="26"/>
  <c r="CM68" i="16"/>
  <c r="CJ63" i="18"/>
  <c r="CG60" i="26"/>
  <c r="CG62" i="26"/>
  <c r="CG59" i="26"/>
  <c r="CJ62" i="18"/>
  <c r="CJ60" i="18"/>
  <c r="CJ61" i="18"/>
  <c r="CN72" i="26"/>
  <c r="CN73" i="26" s="1"/>
  <c r="CO66" i="26" s="1"/>
  <c r="CP68" i="24"/>
  <c r="CP67" i="24"/>
  <c r="CK62" i="24" l="1"/>
  <c r="CK61" i="24"/>
  <c r="CQ72" i="18"/>
  <c r="CQ73" i="18" s="1"/>
  <c r="CR66" i="18" s="1"/>
  <c r="CM72" i="16"/>
  <c r="CM73" i="16" s="1"/>
  <c r="CN67" i="16" s="1"/>
  <c r="CI62" i="16"/>
  <c r="CK59" i="24"/>
  <c r="CK64" i="24"/>
  <c r="CK60" i="24"/>
  <c r="CJ75" i="24"/>
  <c r="CI60" i="16"/>
  <c r="CI64" i="16"/>
  <c r="CH75" i="16"/>
  <c r="CI59" i="16"/>
  <c r="CI61" i="16"/>
  <c r="CG70" i="26"/>
  <c r="CG71" i="26" s="1"/>
  <c r="CH63" i="26" s="1"/>
  <c r="CJ70" i="18"/>
  <c r="CJ71" i="18" s="1"/>
  <c r="CJ75" i="18" s="1"/>
  <c r="CO67" i="26"/>
  <c r="CO68" i="26"/>
  <c r="CP72" i="24"/>
  <c r="CP73" i="24" s="1"/>
  <c r="CQ68" i="24" s="1"/>
  <c r="CN68" i="16" l="1"/>
  <c r="CR68" i="18"/>
  <c r="CN66" i="16"/>
  <c r="CR67" i="18"/>
  <c r="CR72" i="18" s="1"/>
  <c r="CR73" i="18" s="1"/>
  <c r="CS68" i="18" s="1"/>
  <c r="CK70" i="24"/>
  <c r="CK71" i="24" s="1"/>
  <c r="CK75" i="24" s="1"/>
  <c r="CI70" i="16"/>
  <c r="CI71" i="16" s="1"/>
  <c r="CJ59" i="16" s="1"/>
  <c r="CN72" i="16"/>
  <c r="CN73" i="16" s="1"/>
  <c r="CO66" i="16" s="1"/>
  <c r="CL64" i="24"/>
  <c r="CK61" i="18"/>
  <c r="CK63" i="18"/>
  <c r="CL63" i="24"/>
  <c r="CH64" i="26"/>
  <c r="CH60" i="26"/>
  <c r="CK62" i="18"/>
  <c r="CH62" i="26"/>
  <c r="CH61" i="26"/>
  <c r="CH59" i="26"/>
  <c r="CG75" i="26"/>
  <c r="CK64" i="18"/>
  <c r="CK59" i="18"/>
  <c r="CK60" i="18"/>
  <c r="CO72" i="26"/>
  <c r="CO73" i="26" s="1"/>
  <c r="CP67" i="26" s="1"/>
  <c r="CQ66" i="24"/>
  <c r="CQ67" i="24"/>
  <c r="CJ64" i="16"/>
  <c r="CJ63" i="16"/>
  <c r="CJ60" i="16"/>
  <c r="CJ62" i="16"/>
  <c r="CL61" i="24" l="1"/>
  <c r="CO67" i="16"/>
  <c r="CL62" i="24"/>
  <c r="CJ61" i="16"/>
  <c r="CJ70" i="16" s="1"/>
  <c r="CJ71" i="16" s="1"/>
  <c r="CL60" i="24"/>
  <c r="CL59" i="24"/>
  <c r="CL70" i="24" s="1"/>
  <c r="CL71" i="24" s="1"/>
  <c r="CI75" i="16"/>
  <c r="CO68" i="16"/>
  <c r="CS67" i="18"/>
  <c r="CS66" i="18"/>
  <c r="CH70" i="26"/>
  <c r="CH71" i="26" s="1"/>
  <c r="CI61" i="26" s="1"/>
  <c r="CK70" i="18"/>
  <c r="CK71" i="18" s="1"/>
  <c r="CL62" i="18" s="1"/>
  <c r="CP66" i="26"/>
  <c r="CP68" i="26"/>
  <c r="CQ72" i="24"/>
  <c r="CQ73" i="24" s="1"/>
  <c r="CR66" i="24" s="1"/>
  <c r="CO72" i="16" l="1"/>
  <c r="CO73" i="16" s="1"/>
  <c r="CP66" i="16" s="1"/>
  <c r="CM59" i="24"/>
  <c r="CM61" i="24"/>
  <c r="CS72" i="18"/>
  <c r="CS73" i="18" s="1"/>
  <c r="CT66" i="18" s="1"/>
  <c r="CL63" i="18"/>
  <c r="CM64" i="24"/>
  <c r="CM62" i="24"/>
  <c r="CM60" i="24"/>
  <c r="CI63" i="26"/>
  <c r="CL61" i="18"/>
  <c r="CK75" i="18"/>
  <c r="CL75" i="24"/>
  <c r="CM63" i="24"/>
  <c r="CL59" i="18"/>
  <c r="CI59" i="26"/>
  <c r="CI62" i="26"/>
  <c r="CI60" i="26"/>
  <c r="CI64" i="26"/>
  <c r="CH75" i="26"/>
  <c r="CL60" i="18"/>
  <c r="CP72" i="26"/>
  <c r="CP73" i="26" s="1"/>
  <c r="CQ67" i="26" s="1"/>
  <c r="CT68" i="18"/>
  <c r="CL64" i="18"/>
  <c r="CR68" i="24"/>
  <c r="CR67" i="24"/>
  <c r="CK63" i="16"/>
  <c r="CK61" i="16"/>
  <c r="CK60" i="16"/>
  <c r="CK59" i="16"/>
  <c r="CK64" i="16"/>
  <c r="CK62" i="16"/>
  <c r="CJ75" i="16"/>
  <c r="CP67" i="16" l="1"/>
  <c r="CP68" i="16"/>
  <c r="CM70" i="24"/>
  <c r="CM71" i="24" s="1"/>
  <c r="CM75" i="24" s="1"/>
  <c r="CT67" i="18"/>
  <c r="CT72" i="18" s="1"/>
  <c r="CT73" i="18" s="1"/>
  <c r="CU66" i="18" s="1"/>
  <c r="CQ66" i="26"/>
  <c r="CL70" i="18"/>
  <c r="CL71" i="18" s="1"/>
  <c r="CM60" i="18" s="1"/>
  <c r="CI70" i="26"/>
  <c r="CI71" i="26" s="1"/>
  <c r="CI75" i="26" s="1"/>
  <c r="CQ68" i="26"/>
  <c r="CQ72" i="26" s="1"/>
  <c r="CQ73" i="26" s="1"/>
  <c r="CR68" i="26" s="1"/>
  <c r="CP72" i="16"/>
  <c r="CP73" i="16" s="1"/>
  <c r="CQ66" i="16" s="1"/>
  <c r="CR72" i="24"/>
  <c r="CR73" i="24" s="1"/>
  <c r="CS67" i="24" s="1"/>
  <c r="CJ60" i="26"/>
  <c r="CN61" i="24"/>
  <c r="CN60" i="24"/>
  <c r="CN64" i="24"/>
  <c r="CN63" i="24"/>
  <c r="CK70" i="16"/>
  <c r="CK71" i="16" s="1"/>
  <c r="CL61" i="16" s="1"/>
  <c r="CN59" i="24" l="1"/>
  <c r="CN62" i="24"/>
  <c r="CM62" i="18"/>
  <c r="CM63" i="18"/>
  <c r="CJ62" i="26"/>
  <c r="CM61" i="18"/>
  <c r="CM59" i="18"/>
  <c r="CU68" i="18"/>
  <c r="CJ59" i="26"/>
  <c r="CJ63" i="26"/>
  <c r="CJ64" i="26"/>
  <c r="CL75" i="18"/>
  <c r="CJ61" i="26"/>
  <c r="CM64" i="18"/>
  <c r="CS68" i="24"/>
  <c r="CS66" i="24"/>
  <c r="CQ67" i="16"/>
  <c r="CU67" i="18"/>
  <c r="CU72" i="18" s="1"/>
  <c r="CU73" i="18" s="1"/>
  <c r="CV66" i="18" s="1"/>
  <c r="CQ68" i="16"/>
  <c r="CR66" i="26"/>
  <c r="CR67" i="26"/>
  <c r="CJ70" i="26"/>
  <c r="CJ71" i="26" s="1"/>
  <c r="CK61" i="26" s="1"/>
  <c r="CN70" i="24"/>
  <c r="CN71" i="24" s="1"/>
  <c r="CO59" i="24" s="1"/>
  <c r="CK75" i="16"/>
  <c r="CL62" i="16"/>
  <c r="CL60" i="16"/>
  <c r="CL59" i="16"/>
  <c r="CL64" i="16"/>
  <c r="CL63" i="16"/>
  <c r="CM70" i="18" l="1"/>
  <c r="CM71" i="18" s="1"/>
  <c r="CN59" i="18" s="1"/>
  <c r="CS72" i="24"/>
  <c r="CS73" i="24" s="1"/>
  <c r="CT68" i="24" s="1"/>
  <c r="CR72" i="26"/>
  <c r="CR73" i="26" s="1"/>
  <c r="CS66" i="26" s="1"/>
  <c r="CQ72" i="16"/>
  <c r="CQ73" i="16" s="1"/>
  <c r="CR66" i="16" s="1"/>
  <c r="CK60" i="26"/>
  <c r="CK62" i="26"/>
  <c r="CJ75" i="26"/>
  <c r="CK64" i="26"/>
  <c r="CK59" i="26"/>
  <c r="CK63" i="26"/>
  <c r="CN75" i="24"/>
  <c r="CO63" i="24"/>
  <c r="CO62" i="24"/>
  <c r="CO61" i="24"/>
  <c r="CV67" i="18"/>
  <c r="CV68" i="18"/>
  <c r="CO64" i="24"/>
  <c r="CO60" i="24"/>
  <c r="CL70" i="16"/>
  <c r="CL71" i="16" s="1"/>
  <c r="CS67" i="26" l="1"/>
  <c r="CN61" i="18"/>
  <c r="CN63" i="18"/>
  <c r="CN62" i="18"/>
  <c r="CN64" i="18"/>
  <c r="CN60" i="18"/>
  <c r="CM75" i="18"/>
  <c r="CT67" i="24"/>
  <c r="CT66" i="24"/>
  <c r="CS68" i="26"/>
  <c r="CR68" i="16"/>
  <c r="CR67" i="16"/>
  <c r="CK70" i="26"/>
  <c r="CK71" i="26" s="1"/>
  <c r="CL60" i="26" s="1"/>
  <c r="CO70" i="24"/>
  <c r="CO71" i="24" s="1"/>
  <c r="CP64" i="24" s="1"/>
  <c r="CV72" i="18"/>
  <c r="CV73" i="18" s="1"/>
  <c r="CW66" i="18" s="1"/>
  <c r="CS72" i="26"/>
  <c r="CS73" i="26" s="1"/>
  <c r="CT66" i="26" s="1"/>
  <c r="CT72" i="24"/>
  <c r="CT73" i="24" s="1"/>
  <c r="CM62" i="16"/>
  <c r="CL75" i="16"/>
  <c r="CM59" i="16"/>
  <c r="CM60" i="16"/>
  <c r="CM63" i="16"/>
  <c r="CM61" i="16"/>
  <c r="CM64" i="16"/>
  <c r="CR72" i="16" l="1"/>
  <c r="CR73" i="16" s="1"/>
  <c r="CS66" i="16" s="1"/>
  <c r="CN70" i="18"/>
  <c r="CN71" i="18" s="1"/>
  <c r="CL61" i="26"/>
  <c r="CL64" i="26"/>
  <c r="CL59" i="26"/>
  <c r="CL62" i="26"/>
  <c r="CL63" i="26"/>
  <c r="CO75" i="24"/>
  <c r="CP59" i="24"/>
  <c r="CK75" i="26"/>
  <c r="CW68" i="18"/>
  <c r="CW67" i="18"/>
  <c r="CP63" i="24"/>
  <c r="CP62" i="24"/>
  <c r="CP60" i="24"/>
  <c r="CP61" i="24"/>
  <c r="CT67" i="26"/>
  <c r="CT68" i="26"/>
  <c r="CU68" i="24"/>
  <c r="CU66" i="24"/>
  <c r="CU67" i="24"/>
  <c r="CS68" i="16"/>
  <c r="CS67" i="16"/>
  <c r="CM70" i="16"/>
  <c r="CM71" i="16" s="1"/>
  <c r="CL70" i="26" l="1"/>
  <c r="CL71" i="26" s="1"/>
  <c r="CM62" i="26" s="1"/>
  <c r="CO60" i="18"/>
  <c r="CO61" i="18"/>
  <c r="CN75" i="18"/>
  <c r="CO64" i="18"/>
  <c r="CO59" i="18"/>
  <c r="CO63" i="18"/>
  <c r="CO62" i="18"/>
  <c r="CW72" i="18"/>
  <c r="CW73" i="18" s="1"/>
  <c r="CX68" i="18" s="1"/>
  <c r="CL75" i="26"/>
  <c r="CM64" i="26"/>
  <c r="CM59" i="26"/>
  <c r="CM63" i="26"/>
  <c r="CP70" i="24"/>
  <c r="CP71" i="24" s="1"/>
  <c r="CQ64" i="24" s="1"/>
  <c r="CM60" i="26"/>
  <c r="CM61" i="26"/>
  <c r="CT72" i="26"/>
  <c r="CT73" i="26" s="1"/>
  <c r="CX66" i="18"/>
  <c r="CS72" i="16"/>
  <c r="CS73" i="16" s="1"/>
  <c r="CT68" i="16" s="1"/>
  <c r="CU72" i="24"/>
  <c r="CU73" i="24" s="1"/>
  <c r="CN61" i="16"/>
  <c r="CN63" i="16"/>
  <c r="CN60" i="16"/>
  <c r="CN62" i="16"/>
  <c r="CN64" i="16"/>
  <c r="CN59" i="16"/>
  <c r="CM75" i="16"/>
  <c r="CO70" i="18" l="1"/>
  <c r="CO71" i="18" s="1"/>
  <c r="CX67" i="18"/>
  <c r="CQ59" i="24"/>
  <c r="CQ62" i="24"/>
  <c r="CQ63" i="24"/>
  <c r="CQ60" i="24"/>
  <c r="CM70" i="26"/>
  <c r="CM71" i="26" s="1"/>
  <c r="CN61" i="26" s="1"/>
  <c r="CP75" i="24"/>
  <c r="CQ61" i="24"/>
  <c r="CU66" i="26"/>
  <c r="CU68" i="26"/>
  <c r="CU67" i="26"/>
  <c r="CX72" i="18"/>
  <c r="CX73" i="18" s="1"/>
  <c r="CT66" i="16"/>
  <c r="CT67" i="16"/>
  <c r="CV66" i="24"/>
  <c r="CV67" i="24"/>
  <c r="CV68" i="24"/>
  <c r="CN70" i="16"/>
  <c r="CN71" i="16" s="1"/>
  <c r="CP59" i="18" l="1"/>
  <c r="CP60" i="18"/>
  <c r="CP63" i="18"/>
  <c r="CP61" i="18"/>
  <c r="CP62" i="18"/>
  <c r="CP64" i="18"/>
  <c r="CO75" i="18"/>
  <c r="CQ70" i="24"/>
  <c r="CQ71" i="24" s="1"/>
  <c r="CR62" i="24" s="1"/>
  <c r="CN63" i="26"/>
  <c r="CM75" i="26"/>
  <c r="CN62" i="26"/>
  <c r="CN59" i="26"/>
  <c r="CN64" i="26"/>
  <c r="CN60" i="26"/>
  <c r="CR64" i="24"/>
  <c r="CU72" i="26"/>
  <c r="CU73" i="26" s="1"/>
  <c r="CQ75" i="24"/>
  <c r="CY67" i="18"/>
  <c r="CY68" i="18"/>
  <c r="CY66" i="18"/>
  <c r="CT72" i="16"/>
  <c r="CT73" i="16" s="1"/>
  <c r="CU68" i="16" s="1"/>
  <c r="CV72" i="24"/>
  <c r="CV73" i="24" s="1"/>
  <c r="CW66" i="24" s="1"/>
  <c r="CO60" i="16"/>
  <c r="CO61" i="16"/>
  <c r="CO62" i="16"/>
  <c r="CO63" i="16"/>
  <c r="CO59" i="16"/>
  <c r="CN75" i="16"/>
  <c r="CO64" i="16"/>
  <c r="CR60" i="24" l="1"/>
  <c r="CR59" i="24"/>
  <c r="CP70" i="18"/>
  <c r="CP71" i="18" s="1"/>
  <c r="CR61" i="24"/>
  <c r="CR70" i="24" s="1"/>
  <c r="CR71" i="24" s="1"/>
  <c r="CS62" i="24" s="1"/>
  <c r="CR63" i="24"/>
  <c r="CN70" i="26"/>
  <c r="CN71" i="26" s="1"/>
  <c r="CO64" i="26" s="1"/>
  <c r="CV67" i="26"/>
  <c r="CV68" i="26"/>
  <c r="CV66" i="26"/>
  <c r="CY72" i="18"/>
  <c r="CY73" i="18" s="1"/>
  <c r="CU67" i="16"/>
  <c r="CU66" i="16"/>
  <c r="CW68" i="24"/>
  <c r="CW67" i="24"/>
  <c r="CO70" i="16"/>
  <c r="CO71" i="16" s="1"/>
  <c r="CQ63" i="18" l="1"/>
  <c r="CP75" i="18"/>
  <c r="CQ59" i="18"/>
  <c r="CQ62" i="18"/>
  <c r="CQ60" i="18"/>
  <c r="CQ61" i="18"/>
  <c r="CQ64" i="18"/>
  <c r="CO60" i="26"/>
  <c r="CO61" i="26"/>
  <c r="CS63" i="24"/>
  <c r="CS59" i="24"/>
  <c r="CO59" i="26"/>
  <c r="CO70" i="26" s="1"/>
  <c r="CO71" i="26" s="1"/>
  <c r="CO75" i="26" s="1"/>
  <c r="CO62" i="26"/>
  <c r="CO63" i="26"/>
  <c r="CR75" i="24"/>
  <c r="CN75" i="26"/>
  <c r="CS61" i="24"/>
  <c r="CS60" i="24"/>
  <c r="CS64" i="24"/>
  <c r="CV72" i="26"/>
  <c r="CV73" i="26" s="1"/>
  <c r="CU72" i="16"/>
  <c r="CU73" i="16" s="1"/>
  <c r="CV68" i="16" s="1"/>
  <c r="CZ68" i="18"/>
  <c r="CZ67" i="18"/>
  <c r="CZ66" i="18"/>
  <c r="CW72" i="24"/>
  <c r="CW73" i="24" s="1"/>
  <c r="CX68" i="24" s="1"/>
  <c r="CP60" i="16"/>
  <c r="CO75" i="16"/>
  <c r="CP63" i="16"/>
  <c r="CP59" i="16"/>
  <c r="CP62" i="16"/>
  <c r="CP64" i="16"/>
  <c r="CP61" i="16"/>
  <c r="CQ70" i="18" l="1"/>
  <c r="CQ71" i="18" s="1"/>
  <c r="CP62" i="26"/>
  <c r="CP60" i="26"/>
  <c r="CS70" i="24"/>
  <c r="CS71" i="24" s="1"/>
  <c r="CS75" i="24" s="1"/>
  <c r="CP61" i="26"/>
  <c r="CP64" i="26"/>
  <c r="CP59" i="26"/>
  <c r="CP63" i="26"/>
  <c r="CW68" i="26"/>
  <c r="CW67" i="26"/>
  <c r="CW66" i="26"/>
  <c r="CV66" i="16"/>
  <c r="CV67" i="16"/>
  <c r="CZ72" i="18"/>
  <c r="CZ73" i="18" s="1"/>
  <c r="DA66" i="18" s="1"/>
  <c r="CX66" i="24"/>
  <c r="CX67" i="24"/>
  <c r="CP70" i="16"/>
  <c r="CP71" i="16" s="1"/>
  <c r="CQ61" i="16" s="1"/>
  <c r="CT63" i="24" l="1"/>
  <c r="CT60" i="24"/>
  <c r="CT59" i="24"/>
  <c r="CR60" i="18"/>
  <c r="CR62" i="18"/>
  <c r="CR61" i="18"/>
  <c r="CR59" i="18"/>
  <c r="CR63" i="18"/>
  <c r="CR64" i="18"/>
  <c r="CQ75" i="18"/>
  <c r="CT64" i="24"/>
  <c r="CT62" i="24"/>
  <c r="CT61" i="24"/>
  <c r="CP70" i="26"/>
  <c r="CP71" i="26" s="1"/>
  <c r="CQ61" i="26" s="1"/>
  <c r="CV72" i="16"/>
  <c r="CV73" i="16" s="1"/>
  <c r="CW66" i="16" s="1"/>
  <c r="CW72" i="26"/>
  <c r="CW73" i="26" s="1"/>
  <c r="DA68" i="18"/>
  <c r="DA67" i="18"/>
  <c r="CX72" i="24"/>
  <c r="CX73" i="24" s="1"/>
  <c r="CY68" i="24" s="1"/>
  <c r="CQ63" i="16"/>
  <c r="CQ64" i="16"/>
  <c r="CQ60" i="16"/>
  <c r="CQ62" i="16"/>
  <c r="CP75" i="16"/>
  <c r="CQ59" i="16"/>
  <c r="CW67" i="16"/>
  <c r="CT70" i="24" l="1"/>
  <c r="CT71" i="24" s="1"/>
  <c r="CT75" i="24" s="1"/>
  <c r="CR70" i="18"/>
  <c r="CR71" i="18" s="1"/>
  <c r="CQ63" i="26"/>
  <c r="CP75" i="26"/>
  <c r="CW68" i="16"/>
  <c r="CW72" i="16" s="1"/>
  <c r="CW73" i="16" s="1"/>
  <c r="CX66" i="16" s="1"/>
  <c r="CQ62" i="26"/>
  <c r="CQ60" i="26"/>
  <c r="CQ64" i="26"/>
  <c r="CQ59" i="26"/>
  <c r="CU63" i="24"/>
  <c r="CU62" i="24"/>
  <c r="CU60" i="24"/>
  <c r="CU59" i="24"/>
  <c r="CU64" i="24"/>
  <c r="CU61" i="24"/>
  <c r="CX66" i="26"/>
  <c r="CX68" i="26"/>
  <c r="CX67" i="26"/>
  <c r="DA72" i="18"/>
  <c r="DA73" i="18" s="1"/>
  <c r="DB67" i="18" s="1"/>
  <c r="CY66" i="24"/>
  <c r="CY67" i="24"/>
  <c r="CQ70" i="16"/>
  <c r="CQ71" i="16" s="1"/>
  <c r="CR61" i="16" s="1"/>
  <c r="CS59" i="18" l="1"/>
  <c r="CS61" i="18"/>
  <c r="CR75" i="18"/>
  <c r="CS63" i="18"/>
  <c r="CS64" i="18"/>
  <c r="CS62" i="18"/>
  <c r="CS60" i="18"/>
  <c r="CQ70" i="26"/>
  <c r="CQ71" i="26" s="1"/>
  <c r="CR59" i="26" s="1"/>
  <c r="CR61" i="26"/>
  <c r="CU70" i="24"/>
  <c r="CU71" i="24" s="1"/>
  <c r="CV61" i="24" s="1"/>
  <c r="DB66" i="18"/>
  <c r="DB68" i="18"/>
  <c r="CU75" i="24"/>
  <c r="CX72" i="26"/>
  <c r="CX73" i="26" s="1"/>
  <c r="CY72" i="24"/>
  <c r="CY73" i="24" s="1"/>
  <c r="CZ68" i="24" s="1"/>
  <c r="CR64" i="16"/>
  <c r="CR62" i="16"/>
  <c r="CR60" i="16"/>
  <c r="CR59" i="16"/>
  <c r="CR63" i="16"/>
  <c r="CQ75" i="16"/>
  <c r="CX68" i="16"/>
  <c r="CX67" i="16"/>
  <c r="CR64" i="26" l="1"/>
  <c r="CR63" i="26"/>
  <c r="CQ75" i="26"/>
  <c r="CS70" i="18"/>
  <c r="CS71" i="18" s="1"/>
  <c r="CR60" i="26"/>
  <c r="CR62" i="26"/>
  <c r="CV60" i="24"/>
  <c r="CV59" i="24"/>
  <c r="CV64" i="24"/>
  <c r="CV62" i="24"/>
  <c r="CV63" i="24"/>
  <c r="DB72" i="18"/>
  <c r="DB73" i="18" s="1"/>
  <c r="DC67" i="18" s="1"/>
  <c r="CZ67" i="24"/>
  <c r="CZ66" i="24"/>
  <c r="CY66" i="26"/>
  <c r="CY67" i="26"/>
  <c r="CY68" i="26"/>
  <c r="CR70" i="16"/>
  <c r="CR71" i="16" s="1"/>
  <c r="CS64" i="16" s="1"/>
  <c r="CX72" i="16"/>
  <c r="CX73" i="16" s="1"/>
  <c r="CY68" i="16" s="1"/>
  <c r="CT63" i="18" l="1"/>
  <c r="CS75" i="18"/>
  <c r="CT64" i="18"/>
  <c r="CT60" i="18"/>
  <c r="CT61" i="18"/>
  <c r="CT62" i="18"/>
  <c r="CT59" i="18"/>
  <c r="CR70" i="26"/>
  <c r="CR71" i="26" s="1"/>
  <c r="CS61" i="26" s="1"/>
  <c r="CV70" i="24"/>
  <c r="CV71" i="24" s="1"/>
  <c r="CW60" i="24" s="1"/>
  <c r="DC68" i="18"/>
  <c r="DC66" i="18"/>
  <c r="CZ72" i="24"/>
  <c r="CZ73" i="24" s="1"/>
  <c r="DA67" i="24" s="1"/>
  <c r="CY72" i="26"/>
  <c r="CY73" i="26" s="1"/>
  <c r="CZ67" i="26" s="1"/>
  <c r="CY66" i="16"/>
  <c r="CY67" i="16"/>
  <c r="CS62" i="16"/>
  <c r="CS60" i="16"/>
  <c r="CR75" i="16"/>
  <c r="CS61" i="16"/>
  <c r="CS59" i="16"/>
  <c r="CS63" i="16"/>
  <c r="CS64" i="26" l="1"/>
  <c r="CS60" i="26"/>
  <c r="CR75" i="26"/>
  <c r="CW64" i="24"/>
  <c r="CS59" i="26"/>
  <c r="CS63" i="26"/>
  <c r="DC72" i="18"/>
  <c r="DC73" i="18" s="1"/>
  <c r="DD68" i="18" s="1"/>
  <c r="CS62" i="26"/>
  <c r="CT70" i="18"/>
  <c r="CT71" i="18" s="1"/>
  <c r="CW59" i="24"/>
  <c r="CV75" i="24"/>
  <c r="CW61" i="24"/>
  <c r="CW70" i="24" s="1"/>
  <c r="CW71" i="24" s="1"/>
  <c r="CX59" i="24" s="1"/>
  <c r="CW62" i="24"/>
  <c r="CW63" i="24"/>
  <c r="DA68" i="24"/>
  <c r="DA66" i="24"/>
  <c r="DA72" i="24" s="1"/>
  <c r="DA73" i="24" s="1"/>
  <c r="DB68" i="24" s="1"/>
  <c r="CZ68" i="26"/>
  <c r="CZ66" i="26"/>
  <c r="CZ72" i="26" s="1"/>
  <c r="CZ73" i="26" s="1"/>
  <c r="DA67" i="26" s="1"/>
  <c r="CY72" i="16"/>
  <c r="CY73" i="16" s="1"/>
  <c r="CZ68" i="16" s="1"/>
  <c r="CS70" i="16"/>
  <c r="CS71" i="16" s="1"/>
  <c r="CT60" i="16" s="1"/>
  <c r="DD66" i="18" l="1"/>
  <c r="DD67" i="18"/>
  <c r="CU60" i="18"/>
  <c r="CU62" i="18"/>
  <c r="CU59" i="18"/>
  <c r="CU61" i="18"/>
  <c r="CU63" i="18"/>
  <c r="CU64" i="18"/>
  <c r="CT75" i="18"/>
  <c r="CS70" i="26"/>
  <c r="CS71" i="26" s="1"/>
  <c r="DD72" i="18"/>
  <c r="DD73" i="18" s="1"/>
  <c r="DE68" i="18" s="1"/>
  <c r="DB67" i="24"/>
  <c r="CX60" i="24"/>
  <c r="CX63" i="24"/>
  <c r="CX61" i="24"/>
  <c r="CX62" i="24"/>
  <c r="CX64" i="24"/>
  <c r="CW75" i="24"/>
  <c r="DA66" i="26"/>
  <c r="DB66" i="24"/>
  <c r="DB72" i="24" s="1"/>
  <c r="DB73" i="24" s="1"/>
  <c r="DC66" i="24" s="1"/>
  <c r="CZ67" i="16"/>
  <c r="DA68" i="26"/>
  <c r="CZ66" i="16"/>
  <c r="CZ72" i="16" s="1"/>
  <c r="CZ73" i="16" s="1"/>
  <c r="DA67" i="16" s="1"/>
  <c r="CT59" i="16"/>
  <c r="CT64" i="16"/>
  <c r="CT62" i="16"/>
  <c r="CS75" i="16"/>
  <c r="CT63" i="16"/>
  <c r="CT61" i="16"/>
  <c r="DE66" i="18" l="1"/>
  <c r="CS75" i="26"/>
  <c r="CT60" i="26"/>
  <c r="CT62" i="26"/>
  <c r="CT64" i="26"/>
  <c r="CT63" i="26"/>
  <c r="CT59" i="26"/>
  <c r="CT61" i="26"/>
  <c r="CU70" i="18"/>
  <c r="CU71" i="18" s="1"/>
  <c r="DE67" i="18"/>
  <c r="DA72" i="26"/>
  <c r="DA73" i="26" s="1"/>
  <c r="DB67" i="26" s="1"/>
  <c r="CX70" i="24"/>
  <c r="CX71" i="24" s="1"/>
  <c r="CY61" i="24" s="1"/>
  <c r="DE72" i="18"/>
  <c r="DE73" i="18" s="1"/>
  <c r="DF67" i="18" s="1"/>
  <c r="CT70" i="16"/>
  <c r="CT71" i="16" s="1"/>
  <c r="CU59" i="16" s="1"/>
  <c r="DC67" i="24"/>
  <c r="DC68" i="24"/>
  <c r="DA66" i="16"/>
  <c r="DA68" i="16"/>
  <c r="CY60" i="24"/>
  <c r="CY63" i="24" l="1"/>
  <c r="CT70" i="26"/>
  <c r="CT71" i="26" s="1"/>
  <c r="CX75" i="24"/>
  <c r="CY64" i="24"/>
  <c r="CY62" i="24"/>
  <c r="CY59" i="24"/>
  <c r="CV64" i="18"/>
  <c r="CV61" i="18"/>
  <c r="CU75" i="18"/>
  <c r="CV60" i="18"/>
  <c r="CV59" i="18"/>
  <c r="CV62" i="18"/>
  <c r="CV63" i="18"/>
  <c r="DB66" i="26"/>
  <c r="DB72" i="26" s="1"/>
  <c r="DB73" i="26" s="1"/>
  <c r="DC66" i="26" s="1"/>
  <c r="DB68" i="26"/>
  <c r="DF68" i="18"/>
  <c r="DF66" i="18"/>
  <c r="CU64" i="16"/>
  <c r="CU61" i="16"/>
  <c r="CU62" i="16"/>
  <c r="CT75" i="16"/>
  <c r="CU63" i="16"/>
  <c r="CU60" i="16"/>
  <c r="DC72" i="24"/>
  <c r="DC73" i="24" s="1"/>
  <c r="DD68" i="24" s="1"/>
  <c r="DA72" i="16"/>
  <c r="DA73" i="16" s="1"/>
  <c r="DB66" i="16" s="1"/>
  <c r="CY70" i="24"/>
  <c r="CY71" i="24" s="1"/>
  <c r="CV70" i="18" l="1"/>
  <c r="CV71" i="18" s="1"/>
  <c r="CU59" i="26"/>
  <c r="CU63" i="26"/>
  <c r="CU62" i="26"/>
  <c r="CT75" i="26"/>
  <c r="CU60" i="26"/>
  <c r="CU64" i="26"/>
  <c r="CU61" i="26"/>
  <c r="DF72" i="18"/>
  <c r="DF73" i="18" s="1"/>
  <c r="DG67" i="18" s="1"/>
  <c r="DC67" i="26"/>
  <c r="DC68" i="26"/>
  <c r="CU70" i="16"/>
  <c r="CU71" i="16" s="1"/>
  <c r="CV59" i="16" s="1"/>
  <c r="DD67" i="24"/>
  <c r="DD66" i="24"/>
  <c r="DB68" i="16"/>
  <c r="DB67" i="16"/>
  <c r="CZ63" i="24"/>
  <c r="CZ62" i="24"/>
  <c r="CZ59" i="24"/>
  <c r="CZ61" i="24"/>
  <c r="CZ64" i="24"/>
  <c r="CY75" i="24"/>
  <c r="CZ60" i="24"/>
  <c r="CU70" i="26" l="1"/>
  <c r="CU71" i="26" s="1"/>
  <c r="CW59" i="18"/>
  <c r="CW61" i="18"/>
  <c r="CW63" i="18"/>
  <c r="CW62" i="18"/>
  <c r="CW60" i="18"/>
  <c r="CV75" i="18"/>
  <c r="CW64" i="18"/>
  <c r="DG68" i="18"/>
  <c r="DG66" i="18"/>
  <c r="DC72" i="26"/>
  <c r="DC73" i="26" s="1"/>
  <c r="DD66" i="26" s="1"/>
  <c r="CV61" i="16"/>
  <c r="CV64" i="16"/>
  <c r="CV63" i="16"/>
  <c r="CV60" i="16"/>
  <c r="CU75" i="16"/>
  <c r="CV62" i="16"/>
  <c r="DB72" i="16"/>
  <c r="DB73" i="16" s="1"/>
  <c r="DC68" i="16" s="1"/>
  <c r="DD72" i="24"/>
  <c r="DD73" i="24" s="1"/>
  <c r="CZ70" i="24"/>
  <c r="CZ71" i="24" s="1"/>
  <c r="DG72" i="18" l="1"/>
  <c r="DG73" i="18" s="1"/>
  <c r="CW70" i="18"/>
  <c r="CW71" i="18" s="1"/>
  <c r="CV60" i="26"/>
  <c r="CU75" i="26"/>
  <c r="CV61" i="26"/>
  <c r="CV63" i="26"/>
  <c r="CV62" i="26"/>
  <c r="CV59" i="26"/>
  <c r="CV70" i="26" s="1"/>
  <c r="CV71" i="26" s="1"/>
  <c r="CV64" i="26"/>
  <c r="DH66" i="18"/>
  <c r="DD67" i="26"/>
  <c r="DD68" i="26"/>
  <c r="CV70" i="16"/>
  <c r="CV71" i="16" s="1"/>
  <c r="CV75" i="16" s="1"/>
  <c r="DC66" i="16"/>
  <c r="DC67" i="16"/>
  <c r="DE68" i="24"/>
  <c r="DE67" i="24"/>
  <c r="DE66" i="24"/>
  <c r="DA64" i="24"/>
  <c r="CZ75" i="24"/>
  <c r="DA60" i="24"/>
  <c r="DA61" i="24"/>
  <c r="DA62" i="24"/>
  <c r="DA63" i="24"/>
  <c r="DA59" i="24"/>
  <c r="CW63" i="26" l="1"/>
  <c r="CW62" i="26"/>
  <c r="CW60" i="26"/>
  <c r="CW59" i="26"/>
  <c r="CW70" i="26" s="1"/>
  <c r="CW71" i="26" s="1"/>
  <c r="CX61" i="26" s="1"/>
  <c r="CW61" i="26"/>
  <c r="CW64" i="26"/>
  <c r="CV75" i="26"/>
  <c r="CX62" i="18"/>
  <c r="CW75" i="18"/>
  <c r="CX60" i="18"/>
  <c r="CX64" i="18"/>
  <c r="CX61" i="18"/>
  <c r="CX59" i="18"/>
  <c r="CX63" i="18"/>
  <c r="DH68" i="18"/>
  <c r="DH67" i="18"/>
  <c r="DH72" i="18" s="1"/>
  <c r="DH73" i="18" s="1"/>
  <c r="DI68" i="18" s="1"/>
  <c r="DD72" i="26"/>
  <c r="DD73" i="26" s="1"/>
  <c r="DE66" i="26" s="1"/>
  <c r="DC72" i="16"/>
  <c r="DC73" i="16" s="1"/>
  <c r="DD67" i="16" s="1"/>
  <c r="CW60" i="16"/>
  <c r="CW62" i="16"/>
  <c r="CW61" i="16"/>
  <c r="CW59" i="16"/>
  <c r="CW64" i="16"/>
  <c r="CW63" i="16"/>
  <c r="DE72" i="24"/>
  <c r="DE73" i="24" s="1"/>
  <c r="DF67" i="24" s="1"/>
  <c r="CX62" i="26"/>
  <c r="CW75" i="26"/>
  <c r="DA70" i="24"/>
  <c r="DA71" i="24" s="1"/>
  <c r="DD68" i="16"/>
  <c r="CX60" i="26" l="1"/>
  <c r="DI67" i="18"/>
  <c r="CX59" i="26"/>
  <c r="CX64" i="26"/>
  <c r="CX63" i="26"/>
  <c r="DI66" i="18"/>
  <c r="CX70" i="18"/>
  <c r="CX71" i="18" s="1"/>
  <c r="DE67" i="26"/>
  <c r="DE72" i="26" s="1"/>
  <c r="DE73" i="26" s="1"/>
  <c r="DE68" i="26"/>
  <c r="DD66" i="16"/>
  <c r="CW70" i="16"/>
  <c r="CW71" i="16" s="1"/>
  <c r="CX60" i="16" s="1"/>
  <c r="DF66" i="24"/>
  <c r="DF68" i="24"/>
  <c r="DI72" i="18"/>
  <c r="DI73" i="18" s="1"/>
  <c r="DJ68" i="18" s="1"/>
  <c r="CX62" i="16"/>
  <c r="CX70" i="26"/>
  <c r="CX71" i="26" s="1"/>
  <c r="CY62" i="26" s="1"/>
  <c r="DB59" i="24"/>
  <c r="DB64" i="24"/>
  <c r="DA75" i="24"/>
  <c r="DB61" i="24"/>
  <c r="DB62" i="24"/>
  <c r="DB60" i="24"/>
  <c r="DB63" i="24"/>
  <c r="DD72" i="16"/>
  <c r="DD73" i="16" s="1"/>
  <c r="DE68" i="16" s="1"/>
  <c r="CY63" i="18" l="1"/>
  <c r="CX75" i="18"/>
  <c r="CY61" i="18"/>
  <c r="CY59" i="18"/>
  <c r="CY70" i="18" s="1"/>
  <c r="CY71" i="18" s="1"/>
  <c r="CY60" i="18"/>
  <c r="CY62" i="18"/>
  <c r="CY64" i="18"/>
  <c r="DF66" i="26"/>
  <c r="DF67" i="26"/>
  <c r="DF68" i="26"/>
  <c r="CX63" i="16"/>
  <c r="CX61" i="16"/>
  <c r="CX59" i="16"/>
  <c r="CX64" i="16"/>
  <c r="CW75" i="16"/>
  <c r="DF72" i="24"/>
  <c r="DF73" i="24" s="1"/>
  <c r="DG67" i="24" s="1"/>
  <c r="DJ67" i="18"/>
  <c r="DJ66" i="18"/>
  <c r="CX75" i="26"/>
  <c r="CY63" i="26"/>
  <c r="CY60" i="26"/>
  <c r="CY61" i="26"/>
  <c r="CY59" i="26"/>
  <c r="CY64" i="26"/>
  <c r="DB70" i="24"/>
  <c r="DB71" i="24" s="1"/>
  <c r="DE66" i="16"/>
  <c r="DE67" i="16"/>
  <c r="CZ64" i="18" l="1"/>
  <c r="CZ62" i="18"/>
  <c r="CZ60" i="18"/>
  <c r="CZ59" i="18"/>
  <c r="CZ70" i="18" s="1"/>
  <c r="CZ71" i="18" s="1"/>
  <c r="CZ63" i="18"/>
  <c r="CZ61" i="18"/>
  <c r="CY75" i="18"/>
  <c r="DF72" i="26"/>
  <c r="DF73" i="26" s="1"/>
  <c r="CX70" i="16"/>
  <c r="CX71" i="16" s="1"/>
  <c r="CY59" i="16"/>
  <c r="CY60" i="16"/>
  <c r="CY61" i="16"/>
  <c r="DG66" i="24"/>
  <c r="DG68" i="24"/>
  <c r="DJ72" i="18"/>
  <c r="DJ73" i="18" s="1"/>
  <c r="CY63" i="16"/>
  <c r="CX75" i="16"/>
  <c r="CY64" i="16"/>
  <c r="CY62" i="16"/>
  <c r="CY70" i="26"/>
  <c r="CY71" i="26" s="1"/>
  <c r="CZ62" i="26" s="1"/>
  <c r="DC63" i="24"/>
  <c r="DB75" i="24"/>
  <c r="DC64" i="24"/>
  <c r="DC62" i="24"/>
  <c r="DC59" i="24"/>
  <c r="DC61" i="24"/>
  <c r="DC60" i="24"/>
  <c r="DE72" i="16"/>
  <c r="DE73" i="16" s="1"/>
  <c r="DF67" i="16" s="1"/>
  <c r="DA60" i="18" l="1"/>
  <c r="DA62" i="18"/>
  <c r="DA63" i="18"/>
  <c r="CZ75" i="18"/>
  <c r="DA59" i="18"/>
  <c r="DA61" i="18"/>
  <c r="DA64" i="18"/>
  <c r="DG67" i="26"/>
  <c r="DG66" i="26"/>
  <c r="DG68" i="26"/>
  <c r="CY70" i="16"/>
  <c r="CY71" i="16" s="1"/>
  <c r="CZ60" i="16" s="1"/>
  <c r="DG72" i="24"/>
  <c r="DG73" i="24" s="1"/>
  <c r="DK66" i="18"/>
  <c r="DK68" i="18"/>
  <c r="DK67" i="18"/>
  <c r="CZ64" i="26"/>
  <c r="CY75" i="26"/>
  <c r="CZ60" i="26"/>
  <c r="CZ59" i="26"/>
  <c r="CZ63" i="26"/>
  <c r="CZ61" i="26"/>
  <c r="DC70" i="24"/>
  <c r="DC71" i="24" s="1"/>
  <c r="DF68" i="16"/>
  <c r="DF66" i="16"/>
  <c r="DA70" i="18" l="1"/>
  <c r="DA71" i="18" s="1"/>
  <c r="CY75" i="16"/>
  <c r="CZ59" i="16"/>
  <c r="CZ64" i="16"/>
  <c r="CZ63" i="16"/>
  <c r="CZ62" i="16"/>
  <c r="DG72" i="26"/>
  <c r="DG73" i="26" s="1"/>
  <c r="CZ61" i="16"/>
  <c r="DK72" i="18"/>
  <c r="DK73" i="18" s="1"/>
  <c r="DH68" i="24"/>
  <c r="DH67" i="24"/>
  <c r="DH66" i="24"/>
  <c r="CZ70" i="26"/>
  <c r="CZ71" i="26" s="1"/>
  <c r="CZ75" i="26" s="1"/>
  <c r="DD60" i="24"/>
  <c r="DD62" i="24"/>
  <c r="DD63" i="24"/>
  <c r="DC75" i="24"/>
  <c r="DD61" i="24"/>
  <c r="DD59" i="24"/>
  <c r="DD64" i="24"/>
  <c r="DF72" i="16"/>
  <c r="DF73" i="16" s="1"/>
  <c r="DG68" i="16" s="1"/>
  <c r="CZ70" i="16" l="1"/>
  <c r="CZ71" i="16" s="1"/>
  <c r="DB59" i="18"/>
  <c r="DB61" i="18"/>
  <c r="DA75" i="18"/>
  <c r="DB60" i="18"/>
  <c r="DB64" i="18"/>
  <c r="DB63" i="18"/>
  <c r="DB62" i="18"/>
  <c r="CZ75" i="16"/>
  <c r="DA59" i="16"/>
  <c r="DA60" i="16"/>
  <c r="DA62" i="16"/>
  <c r="DA63" i="16"/>
  <c r="DH67" i="26"/>
  <c r="DH66" i="26"/>
  <c r="DH68" i="26"/>
  <c r="DH72" i="24"/>
  <c r="DH73" i="24" s="1"/>
  <c r="DI67" i="24" s="1"/>
  <c r="DA64" i="26"/>
  <c r="DL67" i="18"/>
  <c r="DL66" i="18"/>
  <c r="DL68" i="18"/>
  <c r="DA60" i="26"/>
  <c r="DA62" i="26"/>
  <c r="DA59" i="26"/>
  <c r="DA63" i="26"/>
  <c r="DA61" i="26"/>
  <c r="DD70" i="24"/>
  <c r="DD71" i="24" s="1"/>
  <c r="DG66" i="16"/>
  <c r="DG67" i="16"/>
  <c r="DB70" i="18" l="1"/>
  <c r="DB71" i="18" s="1"/>
  <c r="DA64" i="16"/>
  <c r="DA61" i="16"/>
  <c r="DA70" i="16" s="1"/>
  <c r="DA71" i="16" s="1"/>
  <c r="DI66" i="24"/>
  <c r="DI72" i="24" s="1"/>
  <c r="DI73" i="24" s="1"/>
  <c r="DJ67" i="24" s="1"/>
  <c r="DI68" i="24"/>
  <c r="DH72" i="26"/>
  <c r="DH73" i="26" s="1"/>
  <c r="DL72" i="18"/>
  <c r="DL73" i="18" s="1"/>
  <c r="DA70" i="26"/>
  <c r="DA71" i="26" s="1"/>
  <c r="DB60" i="26" s="1"/>
  <c r="DG72" i="16"/>
  <c r="DG73" i="16" s="1"/>
  <c r="DH68" i="16" s="1"/>
  <c r="DE62" i="24"/>
  <c r="DD75" i="24"/>
  <c r="DE63" i="24"/>
  <c r="DE60" i="24"/>
  <c r="DE59" i="24"/>
  <c r="DE61" i="24"/>
  <c r="DE64" i="24"/>
  <c r="DB61" i="26"/>
  <c r="DB64" i="26"/>
  <c r="DB59" i="26"/>
  <c r="DB61" i="16" l="1"/>
  <c r="DB62" i="16"/>
  <c r="DB64" i="16"/>
  <c r="DB60" i="16"/>
  <c r="DB70" i="16" s="1"/>
  <c r="DB71" i="16" s="1"/>
  <c r="DC64" i="16" s="1"/>
  <c r="DB59" i="16"/>
  <c r="DB63" i="16"/>
  <c r="DA75" i="16"/>
  <c r="DC59" i="18"/>
  <c r="DC70" i="18" s="1"/>
  <c r="DC71" i="18" s="1"/>
  <c r="DC64" i="18"/>
  <c r="DC63" i="18"/>
  <c r="DC61" i="18"/>
  <c r="DC62" i="18"/>
  <c r="DC60" i="18"/>
  <c r="DB75" i="18"/>
  <c r="DB63" i="26"/>
  <c r="DB62" i="26"/>
  <c r="DB70" i="26" s="1"/>
  <c r="DB71" i="26" s="1"/>
  <c r="DI67" i="26"/>
  <c r="DI68" i="26"/>
  <c r="DI66" i="26"/>
  <c r="DA75" i="26"/>
  <c r="DJ66" i="24"/>
  <c r="DJ68" i="24"/>
  <c r="DM68" i="18"/>
  <c r="DM67" i="18"/>
  <c r="DM66" i="18"/>
  <c r="DE70" i="24"/>
  <c r="DE71" i="24" s="1"/>
  <c r="DF59" i="24" s="1"/>
  <c r="DH67" i="16"/>
  <c r="DH66" i="16"/>
  <c r="DD60" i="18" l="1"/>
  <c r="DC75" i="18"/>
  <c r="DD61" i="18"/>
  <c r="DD63" i="18"/>
  <c r="DD59" i="18"/>
  <c r="DD62" i="18"/>
  <c r="DD64" i="18"/>
  <c r="DI72" i="26"/>
  <c r="DI73" i="26" s="1"/>
  <c r="DM72" i="18"/>
  <c r="DM73" i="18" s="1"/>
  <c r="DN66" i="18" s="1"/>
  <c r="DJ72" i="24"/>
  <c r="DJ73" i="24" s="1"/>
  <c r="DF63" i="24"/>
  <c r="DF62" i="24"/>
  <c r="DE75" i="24"/>
  <c r="DF61" i="24"/>
  <c r="DF60" i="24"/>
  <c r="DF64" i="24"/>
  <c r="DH72" i="16"/>
  <c r="DH73" i="16" s="1"/>
  <c r="DI66" i="16" s="1"/>
  <c r="DC60" i="16"/>
  <c r="DC62" i="16"/>
  <c r="DC59" i="16"/>
  <c r="DC61" i="16"/>
  <c r="DC63" i="16"/>
  <c r="DB75" i="16"/>
  <c r="DC59" i="26"/>
  <c r="DB75" i="26"/>
  <c r="DC60" i="26"/>
  <c r="DC62" i="26"/>
  <c r="DC61" i="26"/>
  <c r="DC63" i="26"/>
  <c r="DC64" i="26"/>
  <c r="DD70" i="18" l="1"/>
  <c r="DD71" i="18" s="1"/>
  <c r="DN67" i="18"/>
  <c r="DN68" i="18"/>
  <c r="DN72" i="18" s="1"/>
  <c r="DN73" i="18" s="1"/>
  <c r="DJ68" i="26"/>
  <c r="DJ66" i="26"/>
  <c r="DJ67" i="26"/>
  <c r="DK68" i="24"/>
  <c r="DK66" i="24"/>
  <c r="DK67" i="24"/>
  <c r="DF70" i="24"/>
  <c r="DF71" i="24" s="1"/>
  <c r="DG64" i="24" s="1"/>
  <c r="DI67" i="16"/>
  <c r="DI68" i="16"/>
  <c r="DC70" i="16"/>
  <c r="DC71" i="16" s="1"/>
  <c r="DD61" i="16" s="1"/>
  <c r="DC70" i="26"/>
  <c r="DC71" i="26" s="1"/>
  <c r="DJ72" i="26" l="1"/>
  <c r="DJ73" i="26" s="1"/>
  <c r="DK67" i="26" s="1"/>
  <c r="DE60" i="18"/>
  <c r="DE61" i="18"/>
  <c r="DE63" i="18"/>
  <c r="DE59" i="18"/>
  <c r="DE64" i="18"/>
  <c r="DE62" i="18"/>
  <c r="DD75" i="18"/>
  <c r="DO68" i="18"/>
  <c r="DO67" i="18"/>
  <c r="DO66" i="18"/>
  <c r="DK66" i="26"/>
  <c r="DK68" i="26"/>
  <c r="DK72" i="24"/>
  <c r="DK73" i="24" s="1"/>
  <c r="DG62" i="24"/>
  <c r="DG63" i="24"/>
  <c r="DG61" i="24"/>
  <c r="DG60" i="24"/>
  <c r="DG59" i="24"/>
  <c r="DF75" i="24"/>
  <c r="DI72" i="16"/>
  <c r="DI73" i="16" s="1"/>
  <c r="DJ67" i="16" s="1"/>
  <c r="DO72" i="18"/>
  <c r="DO73" i="18" s="1"/>
  <c r="DP67" i="18" s="1"/>
  <c r="DD64" i="16"/>
  <c r="DD62" i="16"/>
  <c r="DC75" i="16"/>
  <c r="DD59" i="16"/>
  <c r="DD63" i="16"/>
  <c r="DD60" i="16"/>
  <c r="DD60" i="26"/>
  <c r="DC75" i="26"/>
  <c r="DD59" i="26"/>
  <c r="DD62" i="26"/>
  <c r="DD64" i="26"/>
  <c r="DD63" i="26"/>
  <c r="DD61" i="26"/>
  <c r="DK72" i="26" l="1"/>
  <c r="DK73" i="26" s="1"/>
  <c r="DL68" i="26" s="1"/>
  <c r="DE70" i="18"/>
  <c r="DE71" i="18" s="1"/>
  <c r="DL67" i="26"/>
  <c r="DL68" i="24"/>
  <c r="DL66" i="24"/>
  <c r="DL67" i="24"/>
  <c r="DG70" i="24"/>
  <c r="DG71" i="24" s="1"/>
  <c r="DH59" i="24" s="1"/>
  <c r="DJ68" i="16"/>
  <c r="DJ66" i="16"/>
  <c r="DP68" i="18"/>
  <c r="DP66" i="18"/>
  <c r="DD70" i="16"/>
  <c r="DD71" i="16" s="1"/>
  <c r="DD70" i="26"/>
  <c r="DD71" i="26" s="1"/>
  <c r="DL66" i="26" l="1"/>
  <c r="DL72" i="26" s="1"/>
  <c r="DL73" i="26" s="1"/>
  <c r="DF62" i="18"/>
  <c r="DF64" i="18"/>
  <c r="DF63" i="18"/>
  <c r="DF61" i="18"/>
  <c r="DF59" i="18"/>
  <c r="DE75" i="18"/>
  <c r="DF60" i="18"/>
  <c r="DL72" i="24"/>
  <c r="DL73" i="24" s="1"/>
  <c r="DH60" i="24"/>
  <c r="DH64" i="24"/>
  <c r="DH61" i="24"/>
  <c r="DH62" i="24"/>
  <c r="DG75" i="24"/>
  <c r="DH63" i="24"/>
  <c r="DM67" i="26"/>
  <c r="DM68" i="26"/>
  <c r="DM66" i="26"/>
  <c r="DJ72" i="16"/>
  <c r="DJ73" i="16" s="1"/>
  <c r="DK67" i="16" s="1"/>
  <c r="DP72" i="18"/>
  <c r="DP73" i="18" s="1"/>
  <c r="DE62" i="16"/>
  <c r="DE63" i="16"/>
  <c r="DE64" i="16"/>
  <c r="DD75" i="16"/>
  <c r="DE60" i="16"/>
  <c r="DE61" i="16"/>
  <c r="DE59" i="16"/>
  <c r="DE64" i="26"/>
  <c r="DE61" i="26"/>
  <c r="DE63" i="26"/>
  <c r="DE62" i="26"/>
  <c r="DE60" i="26"/>
  <c r="DD75" i="26"/>
  <c r="DE59" i="26"/>
  <c r="DF70" i="18" l="1"/>
  <c r="DF71" i="18" s="1"/>
  <c r="DM66" i="24"/>
  <c r="DM68" i="24"/>
  <c r="DM67" i="24"/>
  <c r="DH70" i="24"/>
  <c r="DH71" i="24" s="1"/>
  <c r="DI60" i="24" s="1"/>
  <c r="DK68" i="16"/>
  <c r="DK66" i="16"/>
  <c r="DK72" i="16" s="1"/>
  <c r="DK73" i="16" s="1"/>
  <c r="DL66" i="16" s="1"/>
  <c r="DM72" i="26"/>
  <c r="DM73" i="26" s="1"/>
  <c r="DE70" i="16"/>
  <c r="DE71" i="16" s="1"/>
  <c r="DE70" i="26"/>
  <c r="DE71" i="26" s="1"/>
  <c r="DF75" i="18" l="1"/>
  <c r="DG60" i="18"/>
  <c r="DG63" i="18"/>
  <c r="DG64" i="18"/>
  <c r="DG62" i="18"/>
  <c r="DG61" i="18"/>
  <c r="DG59" i="18"/>
  <c r="DI62" i="24"/>
  <c r="DI61" i="24"/>
  <c r="DI59" i="24"/>
  <c r="DM72" i="24"/>
  <c r="DM73" i="24" s="1"/>
  <c r="DI64" i="24"/>
  <c r="DH75" i="24"/>
  <c r="DI63" i="24"/>
  <c r="DN66" i="26"/>
  <c r="DN67" i="26"/>
  <c r="DN68" i="26"/>
  <c r="DL68" i="16"/>
  <c r="DL67" i="16"/>
  <c r="DF62" i="16"/>
  <c r="DE75" i="16"/>
  <c r="DF60" i="16"/>
  <c r="DF61" i="16"/>
  <c r="DF59" i="16"/>
  <c r="DF64" i="16"/>
  <c r="DF63" i="16"/>
  <c r="DF63" i="26"/>
  <c r="DF59" i="26"/>
  <c r="DE75" i="26"/>
  <c r="DF60" i="26"/>
  <c r="DF64" i="26"/>
  <c r="DF62" i="26"/>
  <c r="DF61" i="26"/>
  <c r="DG70" i="18" l="1"/>
  <c r="DG71" i="18" s="1"/>
  <c r="DI70" i="24"/>
  <c r="DI71" i="24" s="1"/>
  <c r="DJ62" i="24" s="1"/>
  <c r="DN68" i="24"/>
  <c r="DN66" i="24"/>
  <c r="DN67" i="24"/>
  <c r="DJ64" i="24"/>
  <c r="DN72" i="26"/>
  <c r="DN73" i="26" s="1"/>
  <c r="DJ59" i="24"/>
  <c r="DI75" i="24"/>
  <c r="DJ61" i="24"/>
  <c r="DL72" i="16"/>
  <c r="DL73" i="16" s="1"/>
  <c r="DM67" i="16" s="1"/>
  <c r="DF70" i="16"/>
  <c r="DF71" i="16" s="1"/>
  <c r="DF70" i="26"/>
  <c r="DF71" i="26" s="1"/>
  <c r="DN72" i="24" l="1"/>
  <c r="DN73" i="24" s="1"/>
  <c r="DH63" i="18"/>
  <c r="DG75" i="18"/>
  <c r="DH61" i="18"/>
  <c r="DH64" i="18"/>
  <c r="DH60" i="18"/>
  <c r="DH59" i="18"/>
  <c r="DH62" i="18"/>
  <c r="DJ63" i="24"/>
  <c r="DJ70" i="24" s="1"/>
  <c r="DJ71" i="24" s="1"/>
  <c r="DK61" i="24" s="1"/>
  <c r="DJ60" i="24"/>
  <c r="DO68" i="24"/>
  <c r="DO66" i="24"/>
  <c r="DO67" i="24"/>
  <c r="DO66" i="26"/>
  <c r="DO68" i="26"/>
  <c r="DO67" i="26"/>
  <c r="DM66" i="16"/>
  <c r="DM68" i="16"/>
  <c r="DG60" i="16"/>
  <c r="DG64" i="16"/>
  <c r="DG62" i="16"/>
  <c r="DG59" i="16"/>
  <c r="DG61" i="16"/>
  <c r="DF75" i="16"/>
  <c r="DG63" i="16"/>
  <c r="DG64" i="26"/>
  <c r="DF75" i="26"/>
  <c r="DG60" i="26"/>
  <c r="DG61" i="26"/>
  <c r="DG62" i="26"/>
  <c r="DG63" i="26"/>
  <c r="DG59" i="26"/>
  <c r="DH70" i="18" l="1"/>
  <c r="DH71" i="18" s="1"/>
  <c r="DO72" i="24"/>
  <c r="DO73" i="24" s="1"/>
  <c r="DP67" i="24" s="1"/>
  <c r="DP68" i="24"/>
  <c r="DP66" i="24"/>
  <c r="DK64" i="24"/>
  <c r="DO72" i="26"/>
  <c r="DO73" i="26" s="1"/>
  <c r="DP67" i="26" s="1"/>
  <c r="DK63" i="24"/>
  <c r="DK59" i="24"/>
  <c r="DJ75" i="24"/>
  <c r="DK62" i="24"/>
  <c r="DK60" i="24"/>
  <c r="DP68" i="26"/>
  <c r="DM72" i="16"/>
  <c r="DM73" i="16" s="1"/>
  <c r="DN68" i="16" s="1"/>
  <c r="DG70" i="16"/>
  <c r="DG71" i="16" s="1"/>
  <c r="DG70" i="26"/>
  <c r="DG71" i="26" s="1"/>
  <c r="DH64" i="26" s="1"/>
  <c r="DI64" i="18" l="1"/>
  <c r="DH75" i="18"/>
  <c r="DI60" i="18"/>
  <c r="DI63" i="18"/>
  <c r="DI62" i="18"/>
  <c r="DI61" i="18"/>
  <c r="DI59" i="18"/>
  <c r="DP72" i="24"/>
  <c r="DP73" i="24" s="1"/>
  <c r="DP66" i="26"/>
  <c r="DP72" i="26" s="1"/>
  <c r="DP73" i="26" s="1"/>
  <c r="DK70" i="24"/>
  <c r="DK71" i="24" s="1"/>
  <c r="DL60" i="24" s="1"/>
  <c r="DN66" i="16"/>
  <c r="DN67" i="16"/>
  <c r="DH60" i="26"/>
  <c r="DH59" i="26"/>
  <c r="DH62" i="26"/>
  <c r="DH63" i="26"/>
  <c r="DH61" i="26"/>
  <c r="DG75" i="26"/>
  <c r="DH64" i="16"/>
  <c r="DH60" i="16"/>
  <c r="DG75" i="16"/>
  <c r="DH63" i="16"/>
  <c r="DH62" i="16"/>
  <c r="DH59" i="16"/>
  <c r="DH61" i="16"/>
  <c r="DI70" i="18" l="1"/>
  <c r="DI71" i="18" s="1"/>
  <c r="DL59" i="24"/>
  <c r="DL61" i="24"/>
  <c r="DL63" i="24"/>
  <c r="DL64" i="24"/>
  <c r="DN72" i="16"/>
  <c r="DN73" i="16" s="1"/>
  <c r="DO67" i="16" s="1"/>
  <c r="DK75" i="24"/>
  <c r="DL62" i="24"/>
  <c r="DH70" i="26"/>
  <c r="DH71" i="26" s="1"/>
  <c r="DI63" i="26" s="1"/>
  <c r="DH70" i="16"/>
  <c r="DH71" i="16" s="1"/>
  <c r="DJ60" i="18" l="1"/>
  <c r="DI75" i="18"/>
  <c r="DJ63" i="18"/>
  <c r="DJ62" i="18"/>
  <c r="DJ61" i="18"/>
  <c r="DJ59" i="18"/>
  <c r="DJ64" i="18"/>
  <c r="DO66" i="16"/>
  <c r="DL70" i="24"/>
  <c r="DL71" i="24" s="1"/>
  <c r="DM59" i="24" s="1"/>
  <c r="DO68" i="16"/>
  <c r="DI61" i="26"/>
  <c r="DI64" i="26"/>
  <c r="DH75" i="26"/>
  <c r="DI62" i="26"/>
  <c r="DI60" i="26"/>
  <c r="DI59" i="26"/>
  <c r="DI59" i="16"/>
  <c r="DH75" i="16"/>
  <c r="DI64" i="16"/>
  <c r="DI63" i="16"/>
  <c r="DI60" i="16"/>
  <c r="DI62" i="16"/>
  <c r="DI61" i="16"/>
  <c r="DM64" i="24" l="1"/>
  <c r="DO72" i="16"/>
  <c r="DO73" i="16" s="1"/>
  <c r="DP66" i="16" s="1"/>
  <c r="DJ70" i="18"/>
  <c r="DJ71" i="18" s="1"/>
  <c r="DM63" i="24"/>
  <c r="DM60" i="24"/>
  <c r="DM62" i="24"/>
  <c r="DL75" i="24"/>
  <c r="DM61" i="24"/>
  <c r="DM70" i="24" s="1"/>
  <c r="DM71" i="24" s="1"/>
  <c r="DI70" i="26"/>
  <c r="DI71" i="26" s="1"/>
  <c r="DJ61" i="26" s="1"/>
  <c r="DI70" i="16"/>
  <c r="DI71" i="16" s="1"/>
  <c r="DK59" i="18" l="1"/>
  <c r="DJ75" i="18"/>
  <c r="DK61" i="18"/>
  <c r="DK62" i="18"/>
  <c r="DK60" i="18"/>
  <c r="DK63" i="18"/>
  <c r="DK64" i="18"/>
  <c r="DP67" i="16"/>
  <c r="DP68" i="16"/>
  <c r="DM75" i="24"/>
  <c r="DN64" i="24"/>
  <c r="DN60" i="24"/>
  <c r="DN63" i="24"/>
  <c r="DN61" i="24"/>
  <c r="DN59" i="24"/>
  <c r="DN62" i="24"/>
  <c r="DJ64" i="26"/>
  <c r="DJ63" i="26"/>
  <c r="DJ62" i="26"/>
  <c r="DI75" i="26"/>
  <c r="DJ59" i="26"/>
  <c r="DJ60" i="26"/>
  <c r="DP72" i="16"/>
  <c r="DP73" i="16" s="1"/>
  <c r="DJ63" i="16"/>
  <c r="DJ60" i="16"/>
  <c r="DJ59" i="16"/>
  <c r="DJ64" i="16"/>
  <c r="DJ62" i="16"/>
  <c r="DJ61" i="16"/>
  <c r="DI75" i="16"/>
  <c r="DK70" i="18" l="1"/>
  <c r="DK71" i="18" s="1"/>
  <c r="DN70" i="24"/>
  <c r="DN71" i="24" s="1"/>
  <c r="DO59" i="24" s="1"/>
  <c r="DJ70" i="26"/>
  <c r="DJ71" i="26" s="1"/>
  <c r="DJ75" i="26" s="1"/>
  <c r="DJ70" i="16"/>
  <c r="DJ71" i="16" s="1"/>
  <c r="DL61" i="18" l="1"/>
  <c r="DK75" i="18"/>
  <c r="DL64" i="18"/>
  <c r="DL59" i="18"/>
  <c r="DL70" i="18" s="1"/>
  <c r="DL71" i="18" s="1"/>
  <c r="DL63" i="18"/>
  <c r="DL62" i="18"/>
  <c r="DL60" i="18"/>
  <c r="DO63" i="24"/>
  <c r="DO62" i="24"/>
  <c r="DN75" i="24"/>
  <c r="DO61" i="24"/>
  <c r="DO60" i="24"/>
  <c r="DO64" i="24"/>
  <c r="DK63" i="26"/>
  <c r="DK64" i="26"/>
  <c r="DK60" i="26"/>
  <c r="DK62" i="26"/>
  <c r="DK59" i="26"/>
  <c r="DK61" i="26"/>
  <c r="DK60" i="16"/>
  <c r="DK64" i="16"/>
  <c r="DJ75" i="16"/>
  <c r="DK59" i="16"/>
  <c r="DK63" i="16"/>
  <c r="DK62" i="16"/>
  <c r="DK61" i="16"/>
  <c r="DL75" i="18" l="1"/>
  <c r="DM64" i="18"/>
  <c r="DM63" i="18"/>
  <c r="DM59" i="18"/>
  <c r="DM70" i="18" s="1"/>
  <c r="DM71" i="18" s="1"/>
  <c r="DN63" i="18" s="1"/>
  <c r="DM61" i="18"/>
  <c r="DM62" i="18"/>
  <c r="DM60" i="18"/>
  <c r="DO70" i="24"/>
  <c r="DO71" i="24" s="1"/>
  <c r="DP62" i="24" s="1"/>
  <c r="DK70" i="26"/>
  <c r="DK71" i="26" s="1"/>
  <c r="DL64" i="26" s="1"/>
  <c r="DN59" i="18"/>
  <c r="DN64" i="18"/>
  <c r="DK70" i="16"/>
  <c r="DK71" i="16" s="1"/>
  <c r="DL63" i="16" s="1"/>
  <c r="DN62" i="18" l="1"/>
  <c r="DP60" i="24"/>
  <c r="DP61" i="24"/>
  <c r="DP63" i="24"/>
  <c r="DN60" i="18"/>
  <c r="DO75" i="24"/>
  <c r="DN61" i="18"/>
  <c r="DM75" i="18"/>
  <c r="DP59" i="24"/>
  <c r="DP64" i="24"/>
  <c r="DL62" i="26"/>
  <c r="DL60" i="26"/>
  <c r="DL63" i="26"/>
  <c r="DK75" i="26"/>
  <c r="DL61" i="26"/>
  <c r="DP70" i="24"/>
  <c r="DP71" i="24" s="1"/>
  <c r="DP75" i="24" s="1"/>
  <c r="Q40" i="24" s="1"/>
  <c r="O40" i="24" s="1"/>
  <c r="J17" i="24" s="1"/>
  <c r="J17" i="23" s="1"/>
  <c r="F89" i="23" s="1"/>
  <c r="G89" i="23" s="1"/>
  <c r="H89" i="23" s="1"/>
  <c r="DL59" i="26"/>
  <c r="DN70" i="18"/>
  <c r="DN71" i="18" s="1"/>
  <c r="DO60" i="18" s="1"/>
  <c r="DL64" i="16"/>
  <c r="DL60" i="16"/>
  <c r="DL61" i="16"/>
  <c r="DL62" i="16"/>
  <c r="DK75" i="16"/>
  <c r="DL59" i="16"/>
  <c r="Q31" i="24" l="1"/>
  <c r="O31" i="24" s="1"/>
  <c r="J8" i="24" s="1"/>
  <c r="J8" i="23" s="1"/>
  <c r="F104" i="23" s="1"/>
  <c r="G104" i="23" s="1"/>
  <c r="H104" i="23" s="1"/>
  <c r="DL70" i="26"/>
  <c r="DL71" i="26" s="1"/>
  <c r="DM63" i="26" s="1"/>
  <c r="Q30" i="24"/>
  <c r="O30" i="24" s="1"/>
  <c r="J7" i="24" s="1"/>
  <c r="J7" i="23" s="1"/>
  <c r="F105" i="23" s="1"/>
  <c r="G105" i="23" s="1"/>
  <c r="I105" i="23" s="1"/>
  <c r="Q38" i="24"/>
  <c r="O38" i="24" s="1"/>
  <c r="J15" i="24" s="1"/>
  <c r="J15" i="23" s="1"/>
  <c r="F92" i="23" s="1"/>
  <c r="G92" i="23" s="1"/>
  <c r="I92" i="23" s="1"/>
  <c r="Q45" i="24"/>
  <c r="O45" i="24" s="1"/>
  <c r="J22" i="24" s="1"/>
  <c r="J22" i="23" s="1"/>
  <c r="F95" i="23" s="1"/>
  <c r="G95" i="23" s="1"/>
  <c r="H95" i="23" s="1"/>
  <c r="Q43" i="24"/>
  <c r="O43" i="24" s="1"/>
  <c r="J20" i="24" s="1"/>
  <c r="J20" i="23" s="1"/>
  <c r="F98" i="23" s="1"/>
  <c r="G98" i="23" s="1"/>
  <c r="Q37" i="24"/>
  <c r="O37" i="24" s="1"/>
  <c r="J14" i="24" s="1"/>
  <c r="J14" i="23" s="1"/>
  <c r="F100" i="23" s="1"/>
  <c r="G100" i="23" s="1"/>
  <c r="I100" i="23" s="1"/>
  <c r="Q35" i="24"/>
  <c r="O35" i="24" s="1"/>
  <c r="J12" i="24" s="1"/>
  <c r="J12" i="23" s="1"/>
  <c r="F94" i="23" s="1"/>
  <c r="G94" i="23" s="1"/>
  <c r="Q29" i="24"/>
  <c r="O29" i="24" s="1"/>
  <c r="J6" i="24" s="1"/>
  <c r="J6" i="23" s="1"/>
  <c r="F102" i="23" s="1"/>
  <c r="G102" i="23" s="1"/>
  <c r="H102" i="23" s="1"/>
  <c r="Q32" i="24"/>
  <c r="O32" i="24" s="1"/>
  <c r="J9" i="24" s="1"/>
  <c r="J9" i="23" s="1"/>
  <c r="F103" i="23" s="1"/>
  <c r="G103" i="23" s="1"/>
  <c r="Q28" i="24"/>
  <c r="O28" i="24" s="1"/>
  <c r="J5" i="24" s="1"/>
  <c r="J5" i="23" s="1"/>
  <c r="F91" i="23" s="1"/>
  <c r="G91" i="23" s="1"/>
  <c r="H91" i="23" s="1"/>
  <c r="Q41" i="24"/>
  <c r="O41" i="24" s="1"/>
  <c r="J18" i="24" s="1"/>
  <c r="J18" i="23" s="1"/>
  <c r="F96" i="23" s="1"/>
  <c r="G96" i="23" s="1"/>
  <c r="H96" i="23" s="1"/>
  <c r="Q33" i="24"/>
  <c r="O33" i="24" s="1"/>
  <c r="J10" i="24" s="1"/>
  <c r="J10" i="23" s="1"/>
  <c r="F99" i="23" s="1"/>
  <c r="G99" i="23" s="1"/>
  <c r="H99" i="23" s="1"/>
  <c r="Q42" i="24"/>
  <c r="O42" i="24" s="1"/>
  <c r="J19" i="24" s="1"/>
  <c r="J19" i="23" s="1"/>
  <c r="F97" i="23" s="1"/>
  <c r="G97" i="23" s="1"/>
  <c r="H97" i="23" s="1"/>
  <c r="Q34" i="24"/>
  <c r="O34" i="24" s="1"/>
  <c r="J11" i="24" s="1"/>
  <c r="J11" i="23" s="1"/>
  <c r="F93" i="23" s="1"/>
  <c r="G93" i="23" s="1"/>
  <c r="I93" i="23" s="1"/>
  <c r="Q36" i="24"/>
  <c r="O36" i="24" s="1"/>
  <c r="J13" i="24" s="1"/>
  <c r="J13" i="23" s="1"/>
  <c r="F101" i="23" s="1"/>
  <c r="G101" i="23" s="1"/>
  <c r="I101" i="23" s="1"/>
  <c r="Q39" i="24"/>
  <c r="O39" i="24" s="1"/>
  <c r="J16" i="24" s="1"/>
  <c r="J16" i="23" s="1"/>
  <c r="F90" i="23" s="1"/>
  <c r="G90" i="23" s="1"/>
  <c r="I90" i="23" s="1"/>
  <c r="Q44" i="24"/>
  <c r="O44" i="24" s="1"/>
  <c r="J21" i="24" s="1"/>
  <c r="J21" i="23" s="1"/>
  <c r="F88" i="23" s="1"/>
  <c r="G88" i="23" s="1"/>
  <c r="H88" i="23" s="1"/>
  <c r="H100" i="23"/>
  <c r="H92" i="23"/>
  <c r="I95" i="23"/>
  <c r="I89" i="23"/>
  <c r="I104" i="23"/>
  <c r="DO64" i="18"/>
  <c r="DO63" i="18"/>
  <c r="DN75" i="18"/>
  <c r="DO61" i="18"/>
  <c r="DO59" i="18"/>
  <c r="DO62" i="18"/>
  <c r="DL75" i="26"/>
  <c r="DM64" i="26"/>
  <c r="DM62" i="26"/>
  <c r="DM60" i="26"/>
  <c r="DM59" i="26"/>
  <c r="DM61" i="26"/>
  <c r="DL70" i="16"/>
  <c r="DL71" i="16" s="1"/>
  <c r="DL75" i="16" s="1"/>
  <c r="B12" i="15"/>
  <c r="E13" i="15" s="1"/>
  <c r="AB34" i="1"/>
  <c r="X36" i="1" s="1"/>
  <c r="Y20" i="1"/>
  <c r="B24" i="15"/>
  <c r="I91" i="23" l="1"/>
  <c r="I96" i="23"/>
  <c r="H105" i="23"/>
  <c r="H93" i="23"/>
  <c r="H101" i="23"/>
  <c r="I99" i="23"/>
  <c r="I97" i="23"/>
  <c r="D10" i="24"/>
  <c r="D10" i="23" s="1"/>
  <c r="D9" i="24"/>
  <c r="D9" i="23" s="1"/>
  <c r="C39" i="23" s="1"/>
  <c r="L39" i="23" s="1"/>
  <c r="I94" i="23"/>
  <c r="H94" i="23"/>
  <c r="I102" i="23"/>
  <c r="D11" i="24"/>
  <c r="D11" i="23" s="1"/>
  <c r="I88" i="23"/>
  <c r="H90" i="23"/>
  <c r="H106" i="23" s="1"/>
  <c r="N91" i="23" s="1"/>
  <c r="N92" i="23" s="1"/>
  <c r="H103" i="23"/>
  <c r="I103" i="23"/>
  <c r="H98" i="23"/>
  <c r="I98" i="23"/>
  <c r="DO70" i="18"/>
  <c r="DO71" i="18" s="1"/>
  <c r="DP63" i="18" s="1"/>
  <c r="DM70" i="26"/>
  <c r="DM71" i="26" s="1"/>
  <c r="DN61" i="26" s="1"/>
  <c r="DM62" i="16"/>
  <c r="DM59" i="16"/>
  <c r="DM64" i="16"/>
  <c r="DM61" i="16"/>
  <c r="DM60" i="16"/>
  <c r="DM63" i="16"/>
  <c r="I106" i="23" l="1"/>
  <c r="I127" i="23" s="1"/>
  <c r="I126" i="23" s="1"/>
  <c r="I125" i="23" s="1"/>
  <c r="I124" i="23" s="1"/>
  <c r="I123" i="23" s="1"/>
  <c r="I122" i="23" s="1"/>
  <c r="I121" i="23" s="1"/>
  <c r="F39" i="23"/>
  <c r="H28" i="23"/>
  <c r="D57" i="23"/>
  <c r="DP59" i="18"/>
  <c r="W91" i="23"/>
  <c r="W92" i="23" s="1"/>
  <c r="W93" i="23" s="1"/>
  <c r="X91" i="23"/>
  <c r="X92" i="23" s="1"/>
  <c r="X93" i="23" s="1"/>
  <c r="L91" i="23"/>
  <c r="L92" i="23" s="1"/>
  <c r="L93" i="23" s="1"/>
  <c r="V91" i="23"/>
  <c r="V92" i="23" s="1"/>
  <c r="V93" i="23" s="1"/>
  <c r="DO75" i="18"/>
  <c r="C57" i="23"/>
  <c r="M39" i="23"/>
  <c r="N39" i="23" s="1"/>
  <c r="R91" i="23"/>
  <c r="R92" i="23" s="1"/>
  <c r="R93" i="23" s="1"/>
  <c r="M91" i="23"/>
  <c r="M92" i="23" s="1"/>
  <c r="M93" i="23" s="1"/>
  <c r="P91" i="23"/>
  <c r="P92" i="23" s="1"/>
  <c r="P93" i="23" s="1"/>
  <c r="U91" i="23"/>
  <c r="U92" i="23" s="1"/>
  <c r="U93" i="23" s="1"/>
  <c r="DP64" i="18"/>
  <c r="DP61" i="18"/>
  <c r="J39" i="23"/>
  <c r="K91" i="23"/>
  <c r="K92" i="23" s="1"/>
  <c r="Y91" i="23"/>
  <c r="Y92" i="23" s="1"/>
  <c r="Y93" i="23" s="1"/>
  <c r="Z91" i="23"/>
  <c r="Z92" i="23" s="1"/>
  <c r="Z93" i="23" s="1"/>
  <c r="Q91" i="23"/>
  <c r="Q92" i="23" s="1"/>
  <c r="Q93" i="23" s="1"/>
  <c r="E3" i="9"/>
  <c r="C41" i="23"/>
  <c r="C3" i="9"/>
  <c r="H27" i="23"/>
  <c r="DP60" i="18"/>
  <c r="I39" i="23"/>
  <c r="H127" i="23"/>
  <c r="H126" i="23" s="1"/>
  <c r="H125" i="23" s="1"/>
  <c r="H124" i="23" s="1"/>
  <c r="H123" i="23" s="1"/>
  <c r="H122" i="23" s="1"/>
  <c r="H121" i="23" s="1"/>
  <c r="H120" i="23" s="1"/>
  <c r="H119" i="23" s="1"/>
  <c r="H118" i="23" s="1"/>
  <c r="H117" i="23" s="1"/>
  <c r="H116" i="23" s="1"/>
  <c r="H115" i="23" s="1"/>
  <c r="H114" i="23" s="1"/>
  <c r="H113" i="23" s="1"/>
  <c r="H112" i="23" s="1"/>
  <c r="H111" i="23" s="1"/>
  <c r="H110" i="23" s="1"/>
  <c r="X86" i="23" s="1"/>
  <c r="X87" i="23" s="1"/>
  <c r="X88" i="23" s="1"/>
  <c r="T91" i="23"/>
  <c r="T92" i="23" s="1"/>
  <c r="T93" i="23" s="1"/>
  <c r="S91" i="23"/>
  <c r="S92" i="23" s="1"/>
  <c r="S93" i="23" s="1"/>
  <c r="O91" i="23"/>
  <c r="O92" i="23" s="1"/>
  <c r="O93" i="23" s="1"/>
  <c r="D3" i="9"/>
  <c r="C40" i="23"/>
  <c r="P100" i="23"/>
  <c r="V3" i="9" s="1"/>
  <c r="DP62" i="18"/>
  <c r="DN59" i="26"/>
  <c r="DN64" i="26"/>
  <c r="DN60" i="26"/>
  <c r="DM75" i="26"/>
  <c r="DN63" i="26"/>
  <c r="DN62" i="26"/>
  <c r="DM70" i="16"/>
  <c r="DM71" i="16" s="1"/>
  <c r="DN60" i="16" s="1"/>
  <c r="I120" i="23" l="1"/>
  <c r="I119" i="23" s="1"/>
  <c r="I118" i="23" s="1"/>
  <c r="I117" i="23" s="1"/>
  <c r="I116" i="23" s="1"/>
  <c r="I115" i="23" s="1"/>
  <c r="I114" i="23" s="1"/>
  <c r="I113" i="23" s="1"/>
  <c r="I112" i="23" s="1"/>
  <c r="I111" i="23" s="1"/>
  <c r="I110" i="23" s="1"/>
  <c r="P101" i="23" s="1"/>
  <c r="W3" i="9" s="1"/>
  <c r="K39" i="23"/>
  <c r="U94" i="23"/>
  <c r="U86" i="23"/>
  <c r="U87" i="23" s="1"/>
  <c r="U88" i="23" s="1"/>
  <c r="DP70" i="18"/>
  <c r="DP71" i="18" s="1"/>
  <c r="DP75" i="18" s="1"/>
  <c r="Q28" i="18" s="1"/>
  <c r="O28" i="18" s="1"/>
  <c r="J5" i="18" s="1"/>
  <c r="J5" i="17" s="1"/>
  <c r="F91" i="17" s="1"/>
  <c r="G91" i="17" s="1"/>
  <c r="I91" i="17" s="1"/>
  <c r="R94" i="23"/>
  <c r="Y94" i="23"/>
  <c r="N93" i="23"/>
  <c r="O94" i="23" s="1"/>
  <c r="W94" i="23"/>
  <c r="T86" i="23"/>
  <c r="T87" i="23" s="1"/>
  <c r="T88" i="23" s="1"/>
  <c r="Z94" i="23"/>
  <c r="Q94" i="23"/>
  <c r="R86" i="23"/>
  <c r="R87" i="23" s="1"/>
  <c r="R88" i="23" s="1"/>
  <c r="N86" i="23"/>
  <c r="N87" i="23" s="1"/>
  <c r="N88" i="23" s="1"/>
  <c r="X94" i="23"/>
  <c r="P86" i="23"/>
  <c r="P87" i="23" s="1"/>
  <c r="P88" i="23" s="1"/>
  <c r="W86" i="23"/>
  <c r="W87" i="23" s="1"/>
  <c r="W88" i="23" s="1"/>
  <c r="Z86" i="23"/>
  <c r="Z87" i="23" s="1"/>
  <c r="Z88" i="23" s="1"/>
  <c r="O86" i="23"/>
  <c r="O87" i="23" s="1"/>
  <c r="O88" i="23" s="1"/>
  <c r="S86" i="23"/>
  <c r="S87" i="23" s="1"/>
  <c r="S88" i="23" s="1"/>
  <c r="V86" i="23"/>
  <c r="V87" i="23" s="1"/>
  <c r="V88" i="23" s="1"/>
  <c r="C59" i="23"/>
  <c r="C62" i="23" s="1"/>
  <c r="I41" i="23"/>
  <c r="D59" i="23"/>
  <c r="F41" i="23"/>
  <c r="L41" i="23"/>
  <c r="J41" i="23"/>
  <c r="K41" i="23" s="1"/>
  <c r="M41" i="23"/>
  <c r="S94" i="23"/>
  <c r="V94" i="23"/>
  <c r="C58" i="23"/>
  <c r="C61" i="23" s="1"/>
  <c r="F40" i="23"/>
  <c r="J40" i="23"/>
  <c r="D58" i="23"/>
  <c r="L40" i="23"/>
  <c r="I40" i="23"/>
  <c r="M40" i="23"/>
  <c r="I27" i="23"/>
  <c r="I28" i="23"/>
  <c r="L86" i="23"/>
  <c r="L87" i="23" s="1"/>
  <c r="L88" i="23" s="1"/>
  <c r="M86" i="23"/>
  <c r="M87" i="23" s="1"/>
  <c r="M88" i="23" s="1"/>
  <c r="P94" i="23"/>
  <c r="Q86" i="23"/>
  <c r="Q87" i="23" s="1"/>
  <c r="Q88" i="23" s="1"/>
  <c r="K86" i="23"/>
  <c r="K87" i="23" s="1"/>
  <c r="K90" i="23" s="1"/>
  <c r="Y86" i="23"/>
  <c r="Y87" i="23" s="1"/>
  <c r="Y88" i="23" s="1"/>
  <c r="Y89" i="23" s="1"/>
  <c r="T94" i="23"/>
  <c r="K95" i="23"/>
  <c r="L100" i="23" s="1"/>
  <c r="T3" i="9" s="1"/>
  <c r="K93" i="23"/>
  <c r="M94" i="23"/>
  <c r="Q36" i="18"/>
  <c r="O36" i="18" s="1"/>
  <c r="J13" i="18" s="1"/>
  <c r="J13" i="17" s="1"/>
  <c r="F101" i="17" s="1"/>
  <c r="G101" i="17" s="1"/>
  <c r="H101" i="17" s="1"/>
  <c r="Q43" i="18"/>
  <c r="O43" i="18" s="1"/>
  <c r="J20" i="18" s="1"/>
  <c r="J20" i="17" s="1"/>
  <c r="F98" i="17" s="1"/>
  <c r="G98" i="17" s="1"/>
  <c r="I98" i="17" s="1"/>
  <c r="Q45" i="18"/>
  <c r="O45" i="18" s="1"/>
  <c r="J22" i="18" s="1"/>
  <c r="J22" i="17" s="1"/>
  <c r="F95" i="17" s="1"/>
  <c r="G95" i="17" s="1"/>
  <c r="H95" i="17" s="1"/>
  <c r="Q35" i="18"/>
  <c r="O35" i="18" s="1"/>
  <c r="J12" i="18" s="1"/>
  <c r="J12" i="17" s="1"/>
  <c r="F94" i="17" s="1"/>
  <c r="G94" i="17" s="1"/>
  <c r="Q29" i="18"/>
  <c r="O29" i="18" s="1"/>
  <c r="J6" i="18" s="1"/>
  <c r="J6" i="17" s="1"/>
  <c r="F102" i="17" s="1"/>
  <c r="G102" i="17" s="1"/>
  <c r="Q40" i="18"/>
  <c r="O40" i="18" s="1"/>
  <c r="J17" i="18" s="1"/>
  <c r="J17" i="17" s="1"/>
  <c r="F89" i="17" s="1"/>
  <c r="G89" i="17" s="1"/>
  <c r="H89" i="17" s="1"/>
  <c r="Q44" i="18"/>
  <c r="O44" i="18" s="1"/>
  <c r="J21" i="18" s="1"/>
  <c r="J21" i="17" s="1"/>
  <c r="F88" i="17" s="1"/>
  <c r="G88" i="17" s="1"/>
  <c r="H88" i="17" s="1"/>
  <c r="Q33" i="18"/>
  <c r="O33" i="18" s="1"/>
  <c r="J10" i="18" s="1"/>
  <c r="J10" i="17" s="1"/>
  <c r="F99" i="17" s="1"/>
  <c r="G99" i="17" s="1"/>
  <c r="Q32" i="18"/>
  <c r="O32" i="18" s="1"/>
  <c r="J9" i="18" s="1"/>
  <c r="J9" i="17" s="1"/>
  <c r="F103" i="17" s="1"/>
  <c r="G103" i="17" s="1"/>
  <c r="Q42" i="18"/>
  <c r="O42" i="18" s="1"/>
  <c r="J19" i="18" s="1"/>
  <c r="J19" i="17" s="1"/>
  <c r="F97" i="17" s="1"/>
  <c r="G97" i="17" s="1"/>
  <c r="I97" i="17" s="1"/>
  <c r="Q31" i="18"/>
  <c r="O31" i="18" s="1"/>
  <c r="J8" i="18" s="1"/>
  <c r="J8" i="17" s="1"/>
  <c r="F104" i="17" s="1"/>
  <c r="G104" i="17" s="1"/>
  <c r="I104" i="17" s="1"/>
  <c r="H91" i="17"/>
  <c r="DN70" i="26"/>
  <c r="DN71" i="26" s="1"/>
  <c r="DO62" i="26" s="1"/>
  <c r="DN59" i="16"/>
  <c r="DN63" i="16"/>
  <c r="DN64" i="16"/>
  <c r="DM75" i="16"/>
  <c r="DN62" i="16"/>
  <c r="DN61" i="16"/>
  <c r="P89" i="23" l="1"/>
  <c r="U89" i="23"/>
  <c r="K40" i="23"/>
  <c r="V89" i="23"/>
  <c r="Q38" i="18"/>
  <c r="O38" i="18" s="1"/>
  <c r="J15" i="18" s="1"/>
  <c r="J15" i="17" s="1"/>
  <c r="F92" i="17" s="1"/>
  <c r="G92" i="17" s="1"/>
  <c r="I92" i="17" s="1"/>
  <c r="Q34" i="18"/>
  <c r="O34" i="18" s="1"/>
  <c r="J11" i="18" s="1"/>
  <c r="J11" i="17" s="1"/>
  <c r="F93" i="17" s="1"/>
  <c r="G93" i="17" s="1"/>
  <c r="I93" i="17" s="1"/>
  <c r="R89" i="23"/>
  <c r="Q37" i="18"/>
  <c r="O37" i="18" s="1"/>
  <c r="J14" i="18" s="1"/>
  <c r="J14" i="17" s="1"/>
  <c r="F100" i="17" s="1"/>
  <c r="G100" i="17" s="1"/>
  <c r="H100" i="17" s="1"/>
  <c r="Q39" i="18"/>
  <c r="O39" i="18" s="1"/>
  <c r="J16" i="18" s="1"/>
  <c r="J16" i="17" s="1"/>
  <c r="F90" i="17" s="1"/>
  <c r="G90" i="17" s="1"/>
  <c r="I90" i="17" s="1"/>
  <c r="Q41" i="18"/>
  <c r="O41" i="18" s="1"/>
  <c r="J18" i="18" s="1"/>
  <c r="J18" i="17" s="1"/>
  <c r="F96" i="17" s="1"/>
  <c r="G96" i="17" s="1"/>
  <c r="Q30" i="18"/>
  <c r="O30" i="18" s="1"/>
  <c r="J7" i="18" s="1"/>
  <c r="J7" i="17" s="1"/>
  <c r="F105" i="17" s="1"/>
  <c r="G105" i="17" s="1"/>
  <c r="I105" i="17" s="1"/>
  <c r="N89" i="23"/>
  <c r="T89" i="23"/>
  <c r="O89" i="23"/>
  <c r="N40" i="23"/>
  <c r="S89" i="23"/>
  <c r="N41" i="23"/>
  <c r="Q89" i="23"/>
  <c r="N94" i="23"/>
  <c r="M89" i="23"/>
  <c r="D60" i="23"/>
  <c r="D62" i="23"/>
  <c r="C60" i="23"/>
  <c r="K94" i="23"/>
  <c r="L94" i="23"/>
  <c r="L95" i="23" s="1"/>
  <c r="L101" i="23" s="1"/>
  <c r="U3" i="9" s="1"/>
  <c r="Z89" i="23"/>
  <c r="W89" i="23"/>
  <c r="X89" i="23"/>
  <c r="K88" i="23"/>
  <c r="L89" i="23" s="1"/>
  <c r="G29" i="23"/>
  <c r="G30" i="23" s="1"/>
  <c r="M3" i="9" s="1"/>
  <c r="O27" i="23"/>
  <c r="DO64" i="26"/>
  <c r="DO59" i="26"/>
  <c r="H93" i="17"/>
  <c r="H98" i="17"/>
  <c r="I101" i="17"/>
  <c r="DO60" i="26"/>
  <c r="DO63" i="26"/>
  <c r="H105" i="17"/>
  <c r="DN75" i="26"/>
  <c r="DO61" i="26"/>
  <c r="I95" i="17"/>
  <c r="I88" i="17"/>
  <c r="I89" i="17"/>
  <c r="H94" i="17"/>
  <c r="I94" i="17"/>
  <c r="H104" i="17"/>
  <c r="I102" i="17"/>
  <c r="H102" i="17"/>
  <c r="I99" i="17"/>
  <c r="H99" i="17"/>
  <c r="H97" i="17"/>
  <c r="I103" i="17"/>
  <c r="H103" i="17"/>
  <c r="H90" i="17"/>
  <c r="H96" i="17"/>
  <c r="I96" i="17"/>
  <c r="H92" i="17"/>
  <c r="DN70" i="16"/>
  <c r="DN71" i="16" s="1"/>
  <c r="DO62" i="16" s="1"/>
  <c r="L90" i="23" l="1"/>
  <c r="J58" i="23"/>
  <c r="X58" i="23" s="1"/>
  <c r="C83" i="23" s="1"/>
  <c r="R3" i="9" s="1"/>
  <c r="E88" i="1" s="1"/>
  <c r="I100" i="17"/>
  <c r="K42" i="23"/>
  <c r="G79" i="23" s="1"/>
  <c r="G81" i="23" s="1"/>
  <c r="S3" i="9" s="1"/>
  <c r="H58" i="23"/>
  <c r="V58" i="23" s="1"/>
  <c r="C82" i="23" s="1"/>
  <c r="P3" i="9" s="1"/>
  <c r="E87" i="1" s="1"/>
  <c r="H57" i="23"/>
  <c r="V57" i="23" s="1"/>
  <c r="J57" i="23"/>
  <c r="X57" i="23" s="1"/>
  <c r="G61" i="23"/>
  <c r="K89" i="23"/>
  <c r="DO70" i="26"/>
  <c r="DO71" i="26" s="1"/>
  <c r="DP63" i="26" s="1"/>
  <c r="H106" i="17"/>
  <c r="N91" i="17" s="1"/>
  <c r="N92" i="17" s="1"/>
  <c r="I106" i="17"/>
  <c r="I127" i="17" s="1"/>
  <c r="I126" i="17" s="1"/>
  <c r="I125" i="17" s="1"/>
  <c r="I124" i="17" s="1"/>
  <c r="I123" i="17" s="1"/>
  <c r="I122" i="17" s="1"/>
  <c r="I121" i="17" s="1"/>
  <c r="I120" i="17" s="1"/>
  <c r="I119" i="17" s="1"/>
  <c r="I118" i="17" s="1"/>
  <c r="I117" i="17" s="1"/>
  <c r="I116" i="17" s="1"/>
  <c r="I115" i="17" s="1"/>
  <c r="I114" i="17" s="1"/>
  <c r="I113" i="17" s="1"/>
  <c r="I112" i="17" s="1"/>
  <c r="I111" i="17" s="1"/>
  <c r="I110" i="17" s="1"/>
  <c r="P101" i="17" s="1"/>
  <c r="W4" i="9" s="1"/>
  <c r="G35" i="9" s="1"/>
  <c r="DO60" i="16"/>
  <c r="DO59" i="16"/>
  <c r="DO61" i="16"/>
  <c r="DO64" i="16"/>
  <c r="DN75" i="16"/>
  <c r="DO63" i="16"/>
  <c r="E71" i="23" l="1"/>
  <c r="E72" i="23" s="1"/>
  <c r="E73" i="23" s="1"/>
  <c r="P71" i="23"/>
  <c r="P72" i="23" s="1"/>
  <c r="P73" i="23" s="1"/>
  <c r="I71" i="23"/>
  <c r="I72" i="23" s="1"/>
  <c r="I73" i="23" s="1"/>
  <c r="F71" i="23"/>
  <c r="F72" i="23" s="1"/>
  <c r="F73" i="23" s="1"/>
  <c r="M71" i="23"/>
  <c r="M72" i="23" s="1"/>
  <c r="M73" i="23" s="1"/>
  <c r="L71" i="23"/>
  <c r="L72" i="23" s="1"/>
  <c r="L73" i="23" s="1"/>
  <c r="H71" i="23"/>
  <c r="H72" i="23" s="1"/>
  <c r="H73" i="23" s="1"/>
  <c r="R71" i="23"/>
  <c r="R72" i="23" s="1"/>
  <c r="R73" i="23" s="1"/>
  <c r="Q71" i="23"/>
  <c r="Q72" i="23" s="1"/>
  <c r="Q73" i="23" s="1"/>
  <c r="J71" i="23"/>
  <c r="J72" i="23" s="1"/>
  <c r="J73" i="23" s="1"/>
  <c r="N71" i="23"/>
  <c r="N72" i="23" s="1"/>
  <c r="N73" i="23" s="1"/>
  <c r="C71" i="23"/>
  <c r="C72" i="23" s="1"/>
  <c r="C73" i="23" s="1"/>
  <c r="K71" i="23"/>
  <c r="K72" i="23" s="1"/>
  <c r="K73" i="23" s="1"/>
  <c r="D71" i="23"/>
  <c r="D72" i="23" s="1"/>
  <c r="D73" i="23" s="1"/>
  <c r="O71" i="23"/>
  <c r="O72" i="23" s="1"/>
  <c r="O73" i="23" s="1"/>
  <c r="G71" i="23"/>
  <c r="G72" i="23" s="1"/>
  <c r="G73" i="23" s="1"/>
  <c r="N68" i="23"/>
  <c r="N69" i="23" s="1"/>
  <c r="N70" i="23" s="1"/>
  <c r="P68" i="23"/>
  <c r="P69" i="23" s="1"/>
  <c r="P70" i="23" s="1"/>
  <c r="H68" i="23"/>
  <c r="H69" i="23" s="1"/>
  <c r="H70" i="23" s="1"/>
  <c r="I68" i="23"/>
  <c r="I69" i="23" s="1"/>
  <c r="I70" i="23" s="1"/>
  <c r="R68" i="23"/>
  <c r="R69" i="23" s="1"/>
  <c r="R70" i="23" s="1"/>
  <c r="Q68" i="23"/>
  <c r="Q69" i="23" s="1"/>
  <c r="Q70" i="23" s="1"/>
  <c r="C68" i="23"/>
  <c r="C69" i="23" s="1"/>
  <c r="O68" i="23"/>
  <c r="O69" i="23" s="1"/>
  <c r="O70" i="23" s="1"/>
  <c r="M68" i="23"/>
  <c r="M69" i="23" s="1"/>
  <c r="M70" i="23" s="1"/>
  <c r="G68" i="23"/>
  <c r="G69" i="23" s="1"/>
  <c r="G70" i="23" s="1"/>
  <c r="J68" i="23"/>
  <c r="J69" i="23" s="1"/>
  <c r="J70" i="23" s="1"/>
  <c r="E68" i="23"/>
  <c r="E69" i="23" s="1"/>
  <c r="L68" i="23"/>
  <c r="L69" i="23" s="1"/>
  <c r="L70" i="23" s="1"/>
  <c r="F68" i="23"/>
  <c r="F69" i="23" s="1"/>
  <c r="F70" i="23" s="1"/>
  <c r="D68" i="23"/>
  <c r="D69" i="23" s="1"/>
  <c r="D70" i="23" s="1"/>
  <c r="K68" i="23"/>
  <c r="K69" i="23" s="1"/>
  <c r="K70" i="23" s="1"/>
  <c r="DP61" i="26"/>
  <c r="DP64" i="26"/>
  <c r="DP59" i="26"/>
  <c r="DO75" i="26"/>
  <c r="DP60" i="26"/>
  <c r="DP62" i="26"/>
  <c r="R91" i="17"/>
  <c r="R92" i="17" s="1"/>
  <c r="R93" i="17" s="1"/>
  <c r="Y91" i="17"/>
  <c r="Y92" i="17" s="1"/>
  <c r="Y93" i="17" s="1"/>
  <c r="H127" i="17"/>
  <c r="H126" i="17" s="1"/>
  <c r="H125" i="17" s="1"/>
  <c r="H124" i="17" s="1"/>
  <c r="H123" i="17" s="1"/>
  <c r="H122" i="17" s="1"/>
  <c r="H121" i="17" s="1"/>
  <c r="H120" i="17" s="1"/>
  <c r="H119" i="17" s="1"/>
  <c r="H118" i="17" s="1"/>
  <c r="H117" i="17" s="1"/>
  <c r="H116" i="17" s="1"/>
  <c r="H115" i="17" s="1"/>
  <c r="H114" i="17" s="1"/>
  <c r="H113" i="17" s="1"/>
  <c r="H112" i="17" s="1"/>
  <c r="H111" i="17" s="1"/>
  <c r="H110" i="17" s="1"/>
  <c r="N86" i="17" s="1"/>
  <c r="N87" i="17" s="1"/>
  <c r="N88" i="17" s="1"/>
  <c r="K91" i="17"/>
  <c r="K92" i="17" s="1"/>
  <c r="O91" i="17"/>
  <c r="O92" i="17" s="1"/>
  <c r="O93" i="17" s="1"/>
  <c r="S91" i="17"/>
  <c r="S92" i="17" s="1"/>
  <c r="S93" i="17" s="1"/>
  <c r="W91" i="17"/>
  <c r="W92" i="17" s="1"/>
  <c r="W93" i="17" s="1"/>
  <c r="T91" i="17"/>
  <c r="T92" i="17" s="1"/>
  <c r="T93" i="17" s="1"/>
  <c r="U91" i="17"/>
  <c r="U92" i="17" s="1"/>
  <c r="U93" i="17" s="1"/>
  <c r="P91" i="17"/>
  <c r="P92" i="17" s="1"/>
  <c r="P93" i="17" s="1"/>
  <c r="X91" i="17"/>
  <c r="X92" i="17" s="1"/>
  <c r="X93" i="17" s="1"/>
  <c r="M91" i="17"/>
  <c r="M92" i="17" s="1"/>
  <c r="M93" i="17" s="1"/>
  <c r="Z91" i="17"/>
  <c r="Z92" i="17" s="1"/>
  <c r="Z93" i="17" s="1"/>
  <c r="Q91" i="17"/>
  <c r="Q92" i="17" s="1"/>
  <c r="Q93" i="17" s="1"/>
  <c r="V91" i="17"/>
  <c r="V92" i="17" s="1"/>
  <c r="V93" i="17" s="1"/>
  <c r="L91" i="17"/>
  <c r="L92" i="17" s="1"/>
  <c r="L93" i="17" s="1"/>
  <c r="P100" i="17"/>
  <c r="V4" i="9" s="1"/>
  <c r="DO70" i="16"/>
  <c r="DO71" i="16" s="1"/>
  <c r="DP60" i="16" s="1"/>
  <c r="E70" i="23" l="1"/>
  <c r="C70" i="23"/>
  <c r="C78" i="23" s="1"/>
  <c r="R74" i="23" s="1"/>
  <c r="R75" i="23" s="1"/>
  <c r="O74" i="23"/>
  <c r="O75" i="23" s="1"/>
  <c r="N74" i="23"/>
  <c r="N75" i="23" s="1"/>
  <c r="L74" i="23"/>
  <c r="L75" i="23" s="1"/>
  <c r="Q74" i="23"/>
  <c r="Q75" i="23" s="1"/>
  <c r="DP70" i="26"/>
  <c r="DP71" i="26" s="1"/>
  <c r="DP75" i="26" s="1"/>
  <c r="Q38" i="26" s="1"/>
  <c r="O38" i="26" s="1"/>
  <c r="J15" i="26" s="1"/>
  <c r="J15" i="25" s="1"/>
  <c r="F92" i="25" s="1"/>
  <c r="G92" i="25" s="1"/>
  <c r="W94" i="17"/>
  <c r="R94" i="17"/>
  <c r="Y94" i="17"/>
  <c r="S94" i="17"/>
  <c r="N93" i="17"/>
  <c r="N94" i="17" s="1"/>
  <c r="Z94" i="17"/>
  <c r="X86" i="17"/>
  <c r="X87" i="17" s="1"/>
  <c r="X88" i="17" s="1"/>
  <c r="M86" i="17"/>
  <c r="M87" i="17" s="1"/>
  <c r="M88" i="17" s="1"/>
  <c r="N89" i="17" s="1"/>
  <c r="Q86" i="17"/>
  <c r="Q87" i="17" s="1"/>
  <c r="Q88" i="17" s="1"/>
  <c r="S86" i="17"/>
  <c r="S87" i="17" s="1"/>
  <c r="S88" i="17" s="1"/>
  <c r="W86" i="17"/>
  <c r="W87" i="17" s="1"/>
  <c r="W88" i="17" s="1"/>
  <c r="V86" i="17"/>
  <c r="V87" i="17" s="1"/>
  <c r="V88" i="17" s="1"/>
  <c r="P86" i="17"/>
  <c r="P87" i="17" s="1"/>
  <c r="P88" i="17" s="1"/>
  <c r="L86" i="17"/>
  <c r="L87" i="17" s="1"/>
  <c r="L88" i="17" s="1"/>
  <c r="K86" i="17"/>
  <c r="K87" i="17" s="1"/>
  <c r="Z86" i="17"/>
  <c r="Z87" i="17" s="1"/>
  <c r="Z88" i="17" s="1"/>
  <c r="T86" i="17"/>
  <c r="T87" i="17" s="1"/>
  <c r="T88" i="17" s="1"/>
  <c r="O86" i="17"/>
  <c r="O87" i="17" s="1"/>
  <c r="O88" i="17" s="1"/>
  <c r="O89" i="17" s="1"/>
  <c r="R86" i="17"/>
  <c r="R87" i="17" s="1"/>
  <c r="R88" i="17" s="1"/>
  <c r="Y86" i="17"/>
  <c r="Y87" i="17" s="1"/>
  <c r="Y88" i="17" s="1"/>
  <c r="U86" i="17"/>
  <c r="U87" i="17" s="1"/>
  <c r="U88" i="17" s="1"/>
  <c r="U94" i="17"/>
  <c r="M94" i="17"/>
  <c r="X94" i="17"/>
  <c r="K93" i="17"/>
  <c r="L94" i="17" s="1"/>
  <c r="T94" i="17"/>
  <c r="Q94" i="17"/>
  <c r="P94" i="17"/>
  <c r="V94" i="17"/>
  <c r="K95" i="17"/>
  <c r="L100" i="17" s="1"/>
  <c r="T4" i="9" s="1"/>
  <c r="DP64" i="16"/>
  <c r="DO75" i="16"/>
  <c r="DP63" i="16"/>
  <c r="DP61" i="16"/>
  <c r="DP62" i="16"/>
  <c r="DP59" i="16"/>
  <c r="Q32" i="26" l="1"/>
  <c r="O32" i="26" s="1"/>
  <c r="J9" i="26" s="1"/>
  <c r="J9" i="25" s="1"/>
  <c r="F103" i="25" s="1"/>
  <c r="G103" i="25" s="1"/>
  <c r="I103" i="25" s="1"/>
  <c r="Q40" i="26"/>
  <c r="O40" i="26" s="1"/>
  <c r="J17" i="26" s="1"/>
  <c r="J17" i="25" s="1"/>
  <c r="F89" i="25" s="1"/>
  <c r="G89" i="25" s="1"/>
  <c r="I89" i="25" s="1"/>
  <c r="J74" i="23"/>
  <c r="J75" i="23" s="1"/>
  <c r="M74" i="23"/>
  <c r="M75" i="23" s="1"/>
  <c r="D74" i="23"/>
  <c r="D75" i="23" s="1"/>
  <c r="K74" i="23"/>
  <c r="K75" i="23" s="1"/>
  <c r="H74" i="23"/>
  <c r="H75" i="23" s="1"/>
  <c r="E74" i="23"/>
  <c r="E75" i="23" s="1"/>
  <c r="P74" i="23"/>
  <c r="P75" i="23" s="1"/>
  <c r="I74" i="23"/>
  <c r="I75" i="23" s="1"/>
  <c r="O3" i="9"/>
  <c r="E84" i="1" s="1"/>
  <c r="F74" i="23"/>
  <c r="F75" i="23" s="1"/>
  <c r="C74" i="23"/>
  <c r="C75" i="23" s="1"/>
  <c r="C79" i="23" s="1"/>
  <c r="Q3" i="9" s="1"/>
  <c r="E85" i="1" s="1"/>
  <c r="S74" i="23"/>
  <c r="S75" i="23" s="1"/>
  <c r="G74" i="23"/>
  <c r="G75" i="23" s="1"/>
  <c r="Q45" i="26"/>
  <c r="O45" i="26" s="1"/>
  <c r="J22" i="26" s="1"/>
  <c r="J22" i="25" s="1"/>
  <c r="F95" i="25" s="1"/>
  <c r="G95" i="25" s="1"/>
  <c r="H95" i="25" s="1"/>
  <c r="Q30" i="26"/>
  <c r="O30" i="26" s="1"/>
  <c r="J7" i="26" s="1"/>
  <c r="J7" i="25" s="1"/>
  <c r="F105" i="25" s="1"/>
  <c r="G105" i="25" s="1"/>
  <c r="I105" i="25" s="1"/>
  <c r="Q37" i="26"/>
  <c r="O37" i="26" s="1"/>
  <c r="J14" i="26" s="1"/>
  <c r="J14" i="25" s="1"/>
  <c r="F100" i="25" s="1"/>
  <c r="G100" i="25" s="1"/>
  <c r="I100" i="25" s="1"/>
  <c r="Q31" i="26"/>
  <c r="O31" i="26" s="1"/>
  <c r="J8" i="26" s="1"/>
  <c r="J8" i="25" s="1"/>
  <c r="F104" i="25" s="1"/>
  <c r="G104" i="25" s="1"/>
  <c r="I104" i="25" s="1"/>
  <c r="Q43" i="26"/>
  <c r="O43" i="26" s="1"/>
  <c r="J20" i="26" s="1"/>
  <c r="J20" i="25" s="1"/>
  <c r="F98" i="25" s="1"/>
  <c r="G98" i="25" s="1"/>
  <c r="H98" i="25" s="1"/>
  <c r="Q44" i="26"/>
  <c r="O44" i="26" s="1"/>
  <c r="J21" i="26" s="1"/>
  <c r="J21" i="25" s="1"/>
  <c r="F88" i="25" s="1"/>
  <c r="G88" i="25" s="1"/>
  <c r="H88" i="25" s="1"/>
  <c r="Q42" i="26"/>
  <c r="O42" i="26" s="1"/>
  <c r="J19" i="26" s="1"/>
  <c r="J19" i="25" s="1"/>
  <c r="F97" i="25" s="1"/>
  <c r="G97" i="25" s="1"/>
  <c r="H97" i="25" s="1"/>
  <c r="Q41" i="26"/>
  <c r="O41" i="26" s="1"/>
  <c r="J18" i="26" s="1"/>
  <c r="J18" i="25" s="1"/>
  <c r="F96" i="25" s="1"/>
  <c r="G96" i="25" s="1"/>
  <c r="H96" i="25" s="1"/>
  <c r="Q35" i="26"/>
  <c r="O35" i="26" s="1"/>
  <c r="J12" i="26" s="1"/>
  <c r="J12" i="25" s="1"/>
  <c r="F94" i="25" s="1"/>
  <c r="G94" i="25" s="1"/>
  <c r="H94" i="25" s="1"/>
  <c r="Q34" i="26"/>
  <c r="O34" i="26" s="1"/>
  <c r="J11" i="26" s="1"/>
  <c r="J11" i="25" s="1"/>
  <c r="F93" i="25" s="1"/>
  <c r="G93" i="25" s="1"/>
  <c r="I93" i="25" s="1"/>
  <c r="Q29" i="26"/>
  <c r="O29" i="26" s="1"/>
  <c r="J6" i="26" s="1"/>
  <c r="J6" i="25" s="1"/>
  <c r="F102" i="25" s="1"/>
  <c r="G102" i="25" s="1"/>
  <c r="I102" i="25" s="1"/>
  <c r="Q39" i="26"/>
  <c r="O39" i="26" s="1"/>
  <c r="J16" i="26" s="1"/>
  <c r="J16" i="25" s="1"/>
  <c r="F90" i="25" s="1"/>
  <c r="G90" i="25" s="1"/>
  <c r="I90" i="25" s="1"/>
  <c r="Q33" i="26"/>
  <c r="O33" i="26" s="1"/>
  <c r="J10" i="26" s="1"/>
  <c r="J10" i="25" s="1"/>
  <c r="F99" i="25" s="1"/>
  <c r="G99" i="25" s="1"/>
  <c r="H99" i="25" s="1"/>
  <c r="Q36" i="26"/>
  <c r="O36" i="26" s="1"/>
  <c r="J13" i="26" s="1"/>
  <c r="J13" i="25" s="1"/>
  <c r="F101" i="25" s="1"/>
  <c r="G101" i="25" s="1"/>
  <c r="I101" i="25" s="1"/>
  <c r="Q28" i="26"/>
  <c r="O28" i="26" s="1"/>
  <c r="J5" i="26" s="1"/>
  <c r="J5" i="25" s="1"/>
  <c r="F91" i="25" s="1"/>
  <c r="G91" i="25" s="1"/>
  <c r="H91" i="25" s="1"/>
  <c r="I92" i="25"/>
  <c r="H92" i="25"/>
  <c r="Q89" i="17"/>
  <c r="X89" i="17"/>
  <c r="H103" i="25"/>
  <c r="Y89" i="17"/>
  <c r="O94" i="17"/>
  <c r="K88" i="17"/>
  <c r="K89" i="17" s="1"/>
  <c r="L95" i="17"/>
  <c r="V89" i="17"/>
  <c r="M89" i="17"/>
  <c r="Z89" i="17"/>
  <c r="S89" i="17"/>
  <c r="K90" i="17"/>
  <c r="L101" i="17" s="1"/>
  <c r="U4" i="9" s="1"/>
  <c r="T89" i="17"/>
  <c r="U89" i="17"/>
  <c r="R89" i="17"/>
  <c r="P89" i="17"/>
  <c r="W89" i="17"/>
  <c r="K94" i="17"/>
  <c r="DP70" i="16"/>
  <c r="DP71" i="16" s="1"/>
  <c r="DP75" i="16" s="1"/>
  <c r="Q36" i="16" s="1"/>
  <c r="O36" i="16" s="1"/>
  <c r="J13" i="16" s="1"/>
  <c r="J13" i="4" s="1"/>
  <c r="F101" i="4" s="1"/>
  <c r="G101" i="4" s="1"/>
  <c r="I101" i="4" s="1"/>
  <c r="I95" i="25" l="1"/>
  <c r="H89" i="25"/>
  <c r="H104" i="25"/>
  <c r="H100" i="25"/>
  <c r="H102" i="25"/>
  <c r="I97" i="25"/>
  <c r="H93" i="25"/>
  <c r="H105" i="25"/>
  <c r="I98" i="25"/>
  <c r="I88" i="25"/>
  <c r="I96" i="25"/>
  <c r="I94" i="25"/>
  <c r="H90" i="25"/>
  <c r="I99" i="25"/>
  <c r="H101" i="25"/>
  <c r="I91" i="25"/>
  <c r="H106" i="25"/>
  <c r="X91" i="25" s="1"/>
  <c r="X92" i="25" s="1"/>
  <c r="X93" i="25" s="1"/>
  <c r="Q41" i="16"/>
  <c r="O41" i="16" s="1"/>
  <c r="J18" i="16" s="1"/>
  <c r="J18" i="4" s="1"/>
  <c r="F96" i="4" s="1"/>
  <c r="G96" i="4" s="1"/>
  <c r="H96" i="4" s="1"/>
  <c r="Q40" i="16"/>
  <c r="O40" i="16" s="1"/>
  <c r="J17" i="16" s="1"/>
  <c r="J17" i="4" s="1"/>
  <c r="F89" i="4" s="1"/>
  <c r="G89" i="4" s="1"/>
  <c r="H89" i="4" s="1"/>
  <c r="Q32" i="16"/>
  <c r="O32" i="16" s="1"/>
  <c r="J9" i="16" s="1"/>
  <c r="J9" i="4" s="1"/>
  <c r="F103" i="4" s="1"/>
  <c r="G103" i="4" s="1"/>
  <c r="I103" i="4" s="1"/>
  <c r="Q44" i="16"/>
  <c r="O44" i="16" s="1"/>
  <c r="J21" i="16" s="1"/>
  <c r="J21" i="4" s="1"/>
  <c r="F88" i="4" s="1"/>
  <c r="G88" i="4" s="1"/>
  <c r="H88" i="4" s="1"/>
  <c r="Q33" i="16"/>
  <c r="O33" i="16" s="1"/>
  <c r="J10" i="16" s="1"/>
  <c r="J10" i="4" s="1"/>
  <c r="F99" i="4" s="1"/>
  <c r="G99" i="4" s="1"/>
  <c r="I99" i="4" s="1"/>
  <c r="Q39" i="16"/>
  <c r="O39" i="16" s="1"/>
  <c r="J16" i="16" s="1"/>
  <c r="J16" i="4" s="1"/>
  <c r="F90" i="4" s="1"/>
  <c r="G90" i="4" s="1"/>
  <c r="H90" i="4" s="1"/>
  <c r="Q37" i="16"/>
  <c r="O37" i="16" s="1"/>
  <c r="J14" i="16" s="1"/>
  <c r="J14" i="4" s="1"/>
  <c r="F100" i="4" s="1"/>
  <c r="G100" i="4" s="1"/>
  <c r="I100" i="4" s="1"/>
  <c r="Q42" i="16"/>
  <c r="O42" i="16" s="1"/>
  <c r="J19" i="16" s="1"/>
  <c r="J19" i="4" s="1"/>
  <c r="F97" i="4" s="1"/>
  <c r="G97" i="4" s="1"/>
  <c r="I97" i="4" s="1"/>
  <c r="Q30" i="16"/>
  <c r="O30" i="16" s="1"/>
  <c r="J7" i="16" s="1"/>
  <c r="J7" i="4" s="1"/>
  <c r="F105" i="4" s="1"/>
  <c r="G105" i="4" s="1"/>
  <c r="I105" i="4" s="1"/>
  <c r="Q43" i="16"/>
  <c r="O43" i="16" s="1"/>
  <c r="J20" i="16" s="1"/>
  <c r="J20" i="4" s="1"/>
  <c r="F98" i="4" s="1"/>
  <c r="G98" i="4" s="1"/>
  <c r="H98" i="4" s="1"/>
  <c r="Q38" i="16"/>
  <c r="O38" i="16" s="1"/>
  <c r="J15" i="16" s="1"/>
  <c r="J15" i="4" s="1"/>
  <c r="F92" i="4" s="1"/>
  <c r="G92" i="4" s="1"/>
  <c r="I92" i="4" s="1"/>
  <c r="Q28" i="16"/>
  <c r="O28" i="16" s="1"/>
  <c r="J5" i="16" s="1"/>
  <c r="J5" i="4" s="1"/>
  <c r="F91" i="4" s="1"/>
  <c r="G91" i="4" s="1"/>
  <c r="H91" i="4" s="1"/>
  <c r="Q31" i="16"/>
  <c r="O31" i="16" s="1"/>
  <c r="J8" i="16" s="1"/>
  <c r="J8" i="4" s="1"/>
  <c r="F104" i="4" s="1"/>
  <c r="G104" i="4" s="1"/>
  <c r="I104" i="4" s="1"/>
  <c r="Q29" i="16"/>
  <c r="O29" i="16" s="1"/>
  <c r="J6" i="16" s="1"/>
  <c r="J6" i="4" s="1"/>
  <c r="F102" i="4" s="1"/>
  <c r="G102" i="4" s="1"/>
  <c r="H102" i="4" s="1"/>
  <c r="Q35" i="16"/>
  <c r="O35" i="16" s="1"/>
  <c r="J12" i="16" s="1"/>
  <c r="J12" i="4" s="1"/>
  <c r="F94" i="4" s="1"/>
  <c r="G94" i="4" s="1"/>
  <c r="H94" i="4" s="1"/>
  <c r="L89" i="17"/>
  <c r="L90" i="17" s="1"/>
  <c r="H101" i="4"/>
  <c r="Q45" i="16"/>
  <c r="O45" i="16" s="1"/>
  <c r="J22" i="16" s="1"/>
  <c r="J22" i="4" s="1"/>
  <c r="F95" i="4" s="1"/>
  <c r="G95" i="4" s="1"/>
  <c r="H95" i="4" s="1"/>
  <c r="Q34" i="16"/>
  <c r="O34" i="16" s="1"/>
  <c r="J11" i="16" s="1"/>
  <c r="J11" i="4" s="1"/>
  <c r="F93" i="4" s="1"/>
  <c r="G93" i="4" s="1"/>
  <c r="H93" i="4" s="1"/>
  <c r="V91" i="25" l="1"/>
  <c r="V92" i="25" s="1"/>
  <c r="V93" i="25" s="1"/>
  <c r="I106" i="25"/>
  <c r="P100" i="25" s="1"/>
  <c r="V5" i="9" s="1"/>
  <c r="K91" i="25"/>
  <c r="K92" i="25" s="1"/>
  <c r="K93" i="25" s="1"/>
  <c r="H127" i="25"/>
  <c r="H126" i="25" s="1"/>
  <c r="H125" i="25" s="1"/>
  <c r="H124" i="25" s="1"/>
  <c r="H123" i="25" s="1"/>
  <c r="H122" i="25" s="1"/>
  <c r="H121" i="25" s="1"/>
  <c r="H120" i="25" s="1"/>
  <c r="H119" i="25" s="1"/>
  <c r="H118" i="25" s="1"/>
  <c r="H117" i="25" s="1"/>
  <c r="H116" i="25" s="1"/>
  <c r="H115" i="25" s="1"/>
  <c r="H114" i="25" s="1"/>
  <c r="H113" i="25" s="1"/>
  <c r="H112" i="25" s="1"/>
  <c r="H111" i="25" s="1"/>
  <c r="H110" i="25" s="1"/>
  <c r="L86" i="25" s="1"/>
  <c r="L87" i="25" s="1"/>
  <c r="L88" i="25" s="1"/>
  <c r="L91" i="25"/>
  <c r="L92" i="25" s="1"/>
  <c r="L93" i="25" s="1"/>
  <c r="O91" i="25"/>
  <c r="O92" i="25" s="1"/>
  <c r="O93" i="25" s="1"/>
  <c r="Q91" i="25"/>
  <c r="Q92" i="25" s="1"/>
  <c r="Q93" i="25" s="1"/>
  <c r="P91" i="25"/>
  <c r="P92" i="25" s="1"/>
  <c r="P93" i="25" s="1"/>
  <c r="R91" i="25"/>
  <c r="R92" i="25" s="1"/>
  <c r="R93" i="25" s="1"/>
  <c r="N91" i="25"/>
  <c r="N92" i="25" s="1"/>
  <c r="N93" i="25" s="1"/>
  <c r="O94" i="25" s="1"/>
  <c r="Z91" i="25"/>
  <c r="Z92" i="25" s="1"/>
  <c r="Z93" i="25" s="1"/>
  <c r="Y91" i="25"/>
  <c r="Y92" i="25" s="1"/>
  <c r="Y93" i="25" s="1"/>
  <c r="S91" i="25"/>
  <c r="S92" i="25" s="1"/>
  <c r="S93" i="25" s="1"/>
  <c r="M91" i="25"/>
  <c r="M92" i="25" s="1"/>
  <c r="M93" i="25" s="1"/>
  <c r="T91" i="25"/>
  <c r="T92" i="25" s="1"/>
  <c r="T93" i="25" s="1"/>
  <c r="U91" i="25"/>
  <c r="U92" i="25" s="1"/>
  <c r="U93" i="25" s="1"/>
  <c r="W91" i="25"/>
  <c r="W92" i="25" s="1"/>
  <c r="W93" i="25" s="1"/>
  <c r="W94" i="25" s="1"/>
  <c r="I96" i="4"/>
  <c r="I127" i="25"/>
  <c r="I126" i="25" s="1"/>
  <c r="I125" i="25" s="1"/>
  <c r="I124" i="25" s="1"/>
  <c r="I123" i="25" s="1"/>
  <c r="I122" i="25" s="1"/>
  <c r="I121" i="25" s="1"/>
  <c r="I120" i="25" s="1"/>
  <c r="I119" i="25" s="1"/>
  <c r="I118" i="25" s="1"/>
  <c r="I117" i="25" s="1"/>
  <c r="I116" i="25" s="1"/>
  <c r="I115" i="25" s="1"/>
  <c r="I114" i="25" s="1"/>
  <c r="I113" i="25" s="1"/>
  <c r="I112" i="25" s="1"/>
  <c r="I111" i="25" s="1"/>
  <c r="I110" i="25" s="1"/>
  <c r="P101" i="25" s="1"/>
  <c r="W5" i="9" s="1"/>
  <c r="I90" i="4"/>
  <c r="H103" i="4"/>
  <c r="I102" i="4"/>
  <c r="H100" i="4"/>
  <c r="H106" i="4"/>
  <c r="K91" i="4" s="1"/>
  <c r="K92" i="4" s="1"/>
  <c r="H104" i="4"/>
  <c r="H92" i="4"/>
  <c r="I98" i="4"/>
  <c r="I88" i="4"/>
  <c r="I89" i="4"/>
  <c r="H99" i="4"/>
  <c r="H105" i="4"/>
  <c r="I94" i="4"/>
  <c r="I91" i="4"/>
  <c r="H97" i="4"/>
  <c r="I95" i="4"/>
  <c r="I93" i="4"/>
  <c r="V94" i="25" l="1"/>
  <c r="K95" i="25"/>
  <c r="L100" i="25" s="1"/>
  <c r="T5" i="9" s="1"/>
  <c r="M94" i="25"/>
  <c r="Q94" i="25"/>
  <c r="S94" i="25"/>
  <c r="O86" i="25"/>
  <c r="O87" i="25" s="1"/>
  <c r="O88" i="25" s="1"/>
  <c r="K86" i="25"/>
  <c r="K87" i="25" s="1"/>
  <c r="K90" i="25" s="1"/>
  <c r="L101" i="25" s="1"/>
  <c r="U5" i="9" s="1"/>
  <c r="S86" i="25"/>
  <c r="S87" i="25" s="1"/>
  <c r="S88" i="25" s="1"/>
  <c r="X86" i="25"/>
  <c r="X87" i="25" s="1"/>
  <c r="X88" i="25" s="1"/>
  <c r="Y86" i="25"/>
  <c r="Y87" i="25" s="1"/>
  <c r="Y88" i="25" s="1"/>
  <c r="Q86" i="25"/>
  <c r="Q87" i="25" s="1"/>
  <c r="Q88" i="25" s="1"/>
  <c r="N86" i="25"/>
  <c r="N87" i="25" s="1"/>
  <c r="N88" i="25" s="1"/>
  <c r="W86" i="25"/>
  <c r="W87" i="25" s="1"/>
  <c r="W88" i="25" s="1"/>
  <c r="X89" i="25" s="1"/>
  <c r="R86" i="25"/>
  <c r="R87" i="25" s="1"/>
  <c r="R88" i="25" s="1"/>
  <c r="M86" i="25"/>
  <c r="M87" i="25" s="1"/>
  <c r="M88" i="25" s="1"/>
  <c r="U86" i="25"/>
  <c r="U87" i="25" s="1"/>
  <c r="U88" i="25" s="1"/>
  <c r="R94" i="25"/>
  <c r="Z86" i="25"/>
  <c r="Z87" i="25" s="1"/>
  <c r="Z88" i="25" s="1"/>
  <c r="P86" i="25"/>
  <c r="P87" i="25" s="1"/>
  <c r="P88" i="25" s="1"/>
  <c r="Q89" i="25" s="1"/>
  <c r="V86" i="25"/>
  <c r="V87" i="25" s="1"/>
  <c r="V88" i="25" s="1"/>
  <c r="T86" i="25"/>
  <c r="T87" i="25" s="1"/>
  <c r="T88" i="25" s="1"/>
  <c r="T94" i="25"/>
  <c r="U94" i="25"/>
  <c r="Z94" i="25"/>
  <c r="P94" i="25"/>
  <c r="Y94" i="25"/>
  <c r="X94" i="25"/>
  <c r="M91" i="4"/>
  <c r="M92" i="4" s="1"/>
  <c r="M93" i="4" s="1"/>
  <c r="L91" i="4"/>
  <c r="L92" i="4" s="1"/>
  <c r="L93" i="4" s="1"/>
  <c r="N91" i="4"/>
  <c r="N92" i="4" s="1"/>
  <c r="O91" i="4"/>
  <c r="O92" i="4" s="1"/>
  <c r="O93" i="4" s="1"/>
  <c r="W91" i="4"/>
  <c r="W92" i="4" s="1"/>
  <c r="W93" i="4" s="1"/>
  <c r="R91" i="4"/>
  <c r="R92" i="4" s="1"/>
  <c r="R93" i="4" s="1"/>
  <c r="H127" i="4"/>
  <c r="H126" i="4" s="1"/>
  <c r="H125" i="4" s="1"/>
  <c r="H124" i="4" s="1"/>
  <c r="H123" i="4" s="1"/>
  <c r="H122" i="4" s="1"/>
  <c r="H121" i="4" s="1"/>
  <c r="H120" i="4" s="1"/>
  <c r="H119" i="4" s="1"/>
  <c r="H118" i="4" s="1"/>
  <c r="H117" i="4" s="1"/>
  <c r="H116" i="4" s="1"/>
  <c r="H115" i="4" s="1"/>
  <c r="H114" i="4" s="1"/>
  <c r="H113" i="4" s="1"/>
  <c r="H112" i="4" s="1"/>
  <c r="H111" i="4" s="1"/>
  <c r="H110" i="4" s="1"/>
  <c r="Z86" i="4" s="1"/>
  <c r="Z87" i="4" s="1"/>
  <c r="Z88" i="4" s="1"/>
  <c r="Y91" i="4"/>
  <c r="Y92" i="4" s="1"/>
  <c r="Y93" i="4" s="1"/>
  <c r="P91" i="4"/>
  <c r="P92" i="4" s="1"/>
  <c r="P93" i="4" s="1"/>
  <c r="Z91" i="4"/>
  <c r="Z92" i="4" s="1"/>
  <c r="Z93" i="4" s="1"/>
  <c r="X91" i="4"/>
  <c r="X92" i="4" s="1"/>
  <c r="X93" i="4" s="1"/>
  <c r="S91" i="4"/>
  <c r="S92" i="4" s="1"/>
  <c r="S93" i="4" s="1"/>
  <c r="Q91" i="4"/>
  <c r="Q92" i="4" s="1"/>
  <c r="Q93" i="4" s="1"/>
  <c r="U91" i="4"/>
  <c r="U92" i="4" s="1"/>
  <c r="U93" i="4" s="1"/>
  <c r="T91" i="4"/>
  <c r="T92" i="4" s="1"/>
  <c r="T93" i="4" s="1"/>
  <c r="V91" i="4"/>
  <c r="V92" i="4" s="1"/>
  <c r="V93" i="4" s="1"/>
  <c r="I106" i="4"/>
  <c r="P100" i="4" s="1"/>
  <c r="V2" i="9" s="1"/>
  <c r="D34" i="1" s="1"/>
  <c r="E47" i="15" s="1"/>
  <c r="N94" i="25"/>
  <c r="K95" i="4"/>
  <c r="L100" i="4" s="1"/>
  <c r="T2" i="9" s="1"/>
  <c r="D29" i="1" s="1"/>
  <c r="E45" i="15" s="1"/>
  <c r="K93" i="4"/>
  <c r="K94" i="4" s="1"/>
  <c r="T89" i="25"/>
  <c r="L94" i="25"/>
  <c r="K94" i="25"/>
  <c r="K88" i="25"/>
  <c r="Z89" i="25"/>
  <c r="O89" i="25" l="1"/>
  <c r="L95" i="25"/>
  <c r="Y89" i="25"/>
  <c r="W89" i="25"/>
  <c r="N89" i="25"/>
  <c r="R89" i="25"/>
  <c r="M89" i="25"/>
  <c r="V89" i="25"/>
  <c r="S89" i="25"/>
  <c r="P89" i="25"/>
  <c r="U89" i="25"/>
  <c r="M94" i="4"/>
  <c r="Z94" i="4"/>
  <c r="N93" i="4"/>
  <c r="O94" i="4" s="1"/>
  <c r="U94" i="4"/>
  <c r="R94" i="4"/>
  <c r="Q94" i="4"/>
  <c r="P94" i="4"/>
  <c r="W94" i="4"/>
  <c r="X94" i="4"/>
  <c r="W86" i="4"/>
  <c r="W87" i="4" s="1"/>
  <c r="W88" i="4" s="1"/>
  <c r="V86" i="4"/>
  <c r="V87" i="4" s="1"/>
  <c r="V88" i="4" s="1"/>
  <c r="R86" i="4"/>
  <c r="R87" i="4" s="1"/>
  <c r="R88" i="4" s="1"/>
  <c r="Q86" i="4"/>
  <c r="Q87" i="4" s="1"/>
  <c r="Q88" i="4" s="1"/>
  <c r="P86" i="4"/>
  <c r="P87" i="4" s="1"/>
  <c r="P88" i="4" s="1"/>
  <c r="N86" i="4"/>
  <c r="N87" i="4" s="1"/>
  <c r="N88" i="4" s="1"/>
  <c r="O86" i="4"/>
  <c r="O87" i="4" s="1"/>
  <c r="O88" i="4" s="1"/>
  <c r="T86" i="4"/>
  <c r="T87" i="4" s="1"/>
  <c r="T88" i="4" s="1"/>
  <c r="S86" i="4"/>
  <c r="S87" i="4" s="1"/>
  <c r="S88" i="4" s="1"/>
  <c r="M86" i="4"/>
  <c r="M87" i="4" s="1"/>
  <c r="M88" i="4" s="1"/>
  <c r="U86" i="4"/>
  <c r="U87" i="4" s="1"/>
  <c r="U88" i="4" s="1"/>
  <c r="X86" i="4"/>
  <c r="X87" i="4" s="1"/>
  <c r="X88" i="4" s="1"/>
  <c r="T94" i="4"/>
  <c r="Y94" i="4"/>
  <c r="Y86" i="4"/>
  <c r="Y87" i="4" s="1"/>
  <c r="Y88" i="4" s="1"/>
  <c r="Z89" i="4" s="1"/>
  <c r="L86" i="4"/>
  <c r="L87" i="4" s="1"/>
  <c r="L88" i="4" s="1"/>
  <c r="K86" i="4"/>
  <c r="K87" i="4" s="1"/>
  <c r="S94" i="4"/>
  <c r="V94" i="4"/>
  <c r="I127" i="4"/>
  <c r="I126" i="4" s="1"/>
  <c r="I125" i="4" s="1"/>
  <c r="I124" i="4" s="1"/>
  <c r="I123" i="4" s="1"/>
  <c r="I122" i="4" s="1"/>
  <c r="I121" i="4" s="1"/>
  <c r="I120" i="4" s="1"/>
  <c r="I119" i="4" s="1"/>
  <c r="I118" i="4" s="1"/>
  <c r="I117" i="4" s="1"/>
  <c r="I116" i="4" s="1"/>
  <c r="I115" i="4" s="1"/>
  <c r="I114" i="4" s="1"/>
  <c r="I113" i="4" s="1"/>
  <c r="I112" i="4" s="1"/>
  <c r="I111" i="4" s="1"/>
  <c r="I110" i="4" s="1"/>
  <c r="P101" i="4" s="1"/>
  <c r="W2" i="9" s="1"/>
  <c r="E36" i="1" s="1"/>
  <c r="L94" i="4"/>
  <c r="L95" i="4" s="1"/>
  <c r="N94" i="4"/>
  <c r="K89" i="25"/>
  <c r="L89" i="25"/>
  <c r="L90" i="25" s="1"/>
  <c r="N89" i="4" l="1"/>
  <c r="K88" i="4"/>
  <c r="K89" i="4" s="1"/>
  <c r="S89" i="4"/>
  <c r="W89" i="4"/>
  <c r="M89" i="4"/>
  <c r="Q89" i="4"/>
  <c r="X89" i="4"/>
  <c r="T89" i="4"/>
  <c r="O89" i="4"/>
  <c r="U89" i="4"/>
  <c r="P89" i="4"/>
  <c r="R89" i="4"/>
  <c r="V89" i="4"/>
  <c r="K90" i="4"/>
  <c r="L101" i="4" s="1"/>
  <c r="U2" i="9" s="1"/>
  <c r="E31" i="1" s="1"/>
  <c r="Y89" i="4"/>
  <c r="L89" i="4" l="1"/>
  <c r="L90" i="4" s="1"/>
</calcChain>
</file>

<file path=xl/sharedStrings.xml><?xml version="1.0" encoding="utf-8"?>
<sst xmlns="http://schemas.openxmlformats.org/spreadsheetml/2006/main" count="2674" uniqueCount="494">
  <si>
    <t>Please choose outlet style:</t>
  </si>
  <si>
    <t>Standard Mainstream</t>
  </si>
  <si>
    <t>Range</t>
  </si>
  <si>
    <t>Current</t>
  </si>
  <si>
    <t>Advised</t>
  </si>
  <si>
    <t>Total range size</t>
  </si>
  <si>
    <t>Please list the stocked gins:</t>
  </si>
  <si>
    <t>(Maximum of 30)</t>
  </si>
  <si>
    <t xml:space="preserve">Difference </t>
  </si>
  <si>
    <t>For the best recommendations, please add gins in order from best to worse performing at this outlet.</t>
  </si>
  <si>
    <t xml:space="preserve">Quick assessment </t>
  </si>
  <si>
    <t>Standard Wet-Led</t>
  </si>
  <si>
    <t>Pricing ladder</t>
  </si>
  <si>
    <t>Standard Food-Led</t>
  </si>
  <si>
    <t>Premium Wet-Led</t>
  </si>
  <si>
    <t>Standard</t>
  </si>
  <si>
    <t>Premium Mainstream</t>
  </si>
  <si>
    <t>Premium</t>
  </si>
  <si>
    <t>Premium Food-Led</t>
  </si>
  <si>
    <t>Super Premium</t>
  </si>
  <si>
    <t>View full Recommendations</t>
  </si>
  <si>
    <t>Flavour profiling</t>
  </si>
  <si>
    <t>Juniper</t>
  </si>
  <si>
    <t>Citrus</t>
  </si>
  <si>
    <t>Spiced</t>
  </si>
  <si>
    <t>Herbaceous</t>
  </si>
  <si>
    <t>Floral</t>
  </si>
  <si>
    <t>Fruit</t>
  </si>
  <si>
    <t>In</t>
  </si>
  <si>
    <t>Score</t>
  </si>
  <si>
    <t>Out</t>
  </si>
  <si>
    <t>Product Name</t>
  </si>
  <si>
    <t>Profile</t>
  </si>
  <si>
    <t>Type</t>
  </si>
  <si>
    <t>id</t>
  </si>
  <si>
    <t>FloralSuper Premium</t>
  </si>
  <si>
    <t>JuniperSuper Premium</t>
  </si>
  <si>
    <t>FruitPremium</t>
  </si>
  <si>
    <t>JuniperStandard</t>
  </si>
  <si>
    <t>FloralPremium</t>
  </si>
  <si>
    <t>JuniperPremium</t>
  </si>
  <si>
    <t>CitrusPremium</t>
  </si>
  <si>
    <t>FruitSuper Premium</t>
  </si>
  <si>
    <t>CitrusSuper Premium</t>
  </si>
  <si>
    <t>SpicedSuper Premium</t>
  </si>
  <si>
    <t>HerbaceousSuper Premium</t>
  </si>
  <si>
    <t>FruitStandard</t>
  </si>
  <si>
    <t>HerbaceousPremium</t>
  </si>
  <si>
    <t>SpicedPremium</t>
  </si>
  <si>
    <t>CitrusStandard</t>
  </si>
  <si>
    <t>FloralStandard</t>
  </si>
  <si>
    <t>HerbaceousStandard</t>
  </si>
  <si>
    <t>SpicedStandard</t>
  </si>
  <si>
    <t>ID</t>
  </si>
  <si>
    <t>Range size</t>
  </si>
  <si>
    <t>Pricing structure</t>
  </si>
  <si>
    <t>Flavour profiles</t>
  </si>
  <si>
    <t>Total</t>
  </si>
  <si>
    <t>At a glance</t>
  </si>
  <si>
    <t>Metric Breakdown</t>
  </si>
  <si>
    <t>ID structure</t>
  </si>
  <si>
    <t>Mainstream Wet-Led</t>
  </si>
  <si>
    <t>Quick assesment</t>
  </si>
  <si>
    <t>Size</t>
  </si>
  <si>
    <t>Difference</t>
  </si>
  <si>
    <t xml:space="preserve">SIZELARGE </t>
  </si>
  <si>
    <t>SIZESLARG</t>
  </si>
  <si>
    <t>SIZESMALL</t>
  </si>
  <si>
    <t>SIZEPERF</t>
  </si>
  <si>
    <t>SIZESUIT</t>
  </si>
  <si>
    <t>Range size either +1 or -1 the advised range size</t>
  </si>
  <si>
    <t>Range size matches with advised range size</t>
  </si>
  <si>
    <t>Range size is more than 1 bottle smaller than expected</t>
  </si>
  <si>
    <t>Advice</t>
  </si>
  <si>
    <t>Pricing</t>
  </si>
  <si>
    <t>Flavour</t>
  </si>
  <si>
    <t>Change</t>
  </si>
  <si>
    <t>Proportions</t>
  </si>
  <si>
    <t>%</t>
  </si>
  <si>
    <t>Raw</t>
  </si>
  <si>
    <t>PRICESTAND</t>
  </si>
  <si>
    <t>PRICESSTAN</t>
  </si>
  <si>
    <t>PRICESPREM</t>
  </si>
  <si>
    <t>PRICEPREMI</t>
  </si>
  <si>
    <t>PRICEPERF</t>
  </si>
  <si>
    <t>Pricing structure matches exactly with guidance</t>
  </si>
  <si>
    <t>Pricing structure is slightly more premium than guidance</t>
  </si>
  <si>
    <t>Pricing structure is much more premium than guidance</t>
  </si>
  <si>
    <t>Pricing structure is much less premium than guidance</t>
  </si>
  <si>
    <t>Pricing structure is slightly less premium than guidance</t>
  </si>
  <si>
    <t>Coverage</t>
  </si>
  <si>
    <t>FLAV100</t>
  </si>
  <si>
    <t>FLAV50</t>
  </si>
  <si>
    <t>FLAV30</t>
  </si>
  <si>
    <t>Less than 30% of recommended flavour profiles are covered</t>
  </si>
  <si>
    <t>Flavour profiles are fully covered</t>
  </si>
  <si>
    <t>More than 30% less than 50% of recommended flavour profiles are covered</t>
  </si>
  <si>
    <t>FLAV75</t>
  </si>
  <si>
    <t>FLAV99</t>
  </si>
  <si>
    <t>More than 50% less than 75% of recommended flavour profiles are covered</t>
  </si>
  <si>
    <t>More than 75% less than 99% of recommended flavour profiles are covered</t>
  </si>
  <si>
    <t>ADVICE</t>
  </si>
  <si>
    <t>SCORELOW</t>
  </si>
  <si>
    <t>SCOREMED</t>
  </si>
  <si>
    <t>SCOREHIG</t>
  </si>
  <si>
    <t>Changes needed</t>
  </si>
  <si>
    <t>S</t>
  </si>
  <si>
    <t>P</t>
  </si>
  <si>
    <t>SP</t>
  </si>
  <si>
    <t>Diff</t>
  </si>
  <si>
    <t>Price need</t>
  </si>
  <si>
    <t>Price Remove</t>
  </si>
  <si>
    <t>Swap Suggestion</t>
  </si>
  <si>
    <t>JU</t>
  </si>
  <si>
    <t>CI</t>
  </si>
  <si>
    <t>HE</t>
  </si>
  <si>
    <t>FL</t>
  </si>
  <si>
    <t>FR</t>
  </si>
  <si>
    <t>Add</t>
  </si>
  <si>
    <t>Remove</t>
  </si>
  <si>
    <t>In 1</t>
  </si>
  <si>
    <t>In 2</t>
  </si>
  <si>
    <t>Out 1</t>
  </si>
  <si>
    <t>Out 2</t>
  </si>
  <si>
    <t>Rank</t>
  </si>
  <si>
    <t>Reverse Breakdown</t>
  </si>
  <si>
    <t>Results</t>
  </si>
  <si>
    <t>Mainstream Food-Led</t>
  </si>
  <si>
    <t>Price</t>
  </si>
  <si>
    <t>Favourite</t>
  </si>
  <si>
    <t>Full Match</t>
  </si>
  <si>
    <t>Need</t>
  </si>
  <si>
    <t>FULLO1</t>
  </si>
  <si>
    <t>FULLA1</t>
  </si>
  <si>
    <t>FULLA2</t>
  </si>
  <si>
    <t>or</t>
  </si>
  <si>
    <t xml:space="preserve">  Least Change</t>
  </si>
  <si>
    <t>⬇</t>
  </si>
  <si>
    <t>⬆</t>
  </si>
  <si>
    <t>⬊</t>
  </si>
  <si>
    <t>👌</t>
  </si>
  <si>
    <t>£</t>
  </si>
  <si>
    <t>££-</t>
  </si>
  <si>
    <t>££+</t>
  </si>
  <si>
    <t>£££</t>
  </si>
  <si>
    <t>£👍</t>
  </si>
  <si>
    <t>Range recommendations</t>
  </si>
  <si>
    <t>Our gin ranging guidelines are designed as a starting point to help you create the optimum gin range for your outlet. Whatever your style, the tool guides you to ensure that you not only have the upsell pricing ladder but also a balanced range across the flavour profiles.</t>
  </si>
  <si>
    <t>Overall score</t>
  </si>
  <si>
    <t>Flavour composition</t>
  </si>
  <si>
    <t>Low</t>
  </si>
  <si>
    <t>Med</t>
  </si>
  <si>
    <t>High</t>
  </si>
  <si>
    <t>AdviceR</t>
  </si>
  <si>
    <t>AdviceP</t>
  </si>
  <si>
    <t>AdviceF</t>
  </si>
  <si>
    <t>Recommendation Quick</t>
  </si>
  <si>
    <t>⬌</t>
  </si>
  <si>
    <t>✿</t>
  </si>
  <si>
    <t>🍓</t>
  </si>
  <si>
    <t>🍋</t>
  </si>
  <si>
    <t>🍉</t>
  </si>
  <si>
    <t>🌱</t>
  </si>
  <si>
    <t>🌶</t>
  </si>
  <si>
    <t>🍉 (££)｜Bombay English Estate</t>
  </si>
  <si>
    <t>🍉 (££)｜Bombay Sapphire</t>
  </si>
  <si>
    <t>🍓 (£££)｜Brockmans</t>
  </si>
  <si>
    <t>🍉 (££)｜Bulldog</t>
  </si>
  <si>
    <t>✿ (£££)｜Caorunn Gin</t>
  </si>
  <si>
    <t>🍓 (£££)｜Caorunn Scottish Raspberry</t>
  </si>
  <si>
    <t>🌱 (£££)｜Elephant Gin</t>
  </si>
  <si>
    <t>🍋 (£££)｜Fifty Pounds Gin</t>
  </si>
  <si>
    <t>🍋 (£)｜Gordon’s Original</t>
  </si>
  <si>
    <t>🍉 (£££)｜Star Of Bomaby</t>
  </si>
  <si>
    <t>✿ (£££)｜The Botanist</t>
  </si>
  <si>
    <t>Recommendation Paragraph</t>
  </si>
  <si>
    <t>Great range size, but you could:</t>
  </si>
  <si>
    <t>Potentially over-indexing on gin:</t>
  </si>
  <si>
    <t>Perfectly sized range</t>
  </si>
  <si>
    <t>Good range size, but you could:</t>
  </si>
  <si>
    <t>Plenty of opportunity to expand:</t>
  </si>
  <si>
    <t>Some opportunity for premiumisation</t>
  </si>
  <si>
    <t>Plenty of opportunity for premiumisation</t>
  </si>
  <si>
    <t>Opportunity to increase volume lines</t>
  </si>
  <si>
    <t>Some opportunity to increase volume lines</t>
  </si>
  <si>
    <t>Ideally structured pricing ladder</t>
  </si>
  <si>
    <t>Perfectly flavour balanced range</t>
  </si>
  <si>
    <t>Superb range but some opportunity</t>
  </si>
  <si>
    <t>Great range but we can help</t>
  </si>
  <si>
    <t>Plenty of opportunity to sell more</t>
  </si>
  <si>
    <t>Significant opportunity to sell more</t>
  </si>
  <si>
    <t>Overall you have a great gin range, that meets most or all of the key requirements.</t>
  </si>
  <si>
    <t>Overall you have a some good opportunities to increase gin sales from your range.</t>
  </si>
  <si>
    <t>Overall you have a good gin range, with a some opportunities for increased sales.</t>
  </si>
  <si>
    <t>🍓 (££)｜Eden Mill Raspberry, Vanilla &amp; Meringue Love Gin Liqueur</t>
  </si>
  <si>
    <t>🍋 (£)｜Ceder's Classic</t>
  </si>
  <si>
    <t>🍓 (££)｜Whitley Neill Blackberry Gin</t>
  </si>
  <si>
    <t>🍉 (£)｜Beefeater Dry</t>
  </si>
  <si>
    <t>🍓 (£)｜Gordon’s Pink Gin</t>
  </si>
  <si>
    <t>🍋 (££)｜Tanqueray Gin</t>
  </si>
  <si>
    <t>✿  (£££)｜Hendrick's Gin</t>
  </si>
  <si>
    <t>🍓 (£)｜Beefeater Pink</t>
  </si>
  <si>
    <t>🍓 (££)｜Whitley Neill Rhubarb &amp; Ginger Gin</t>
  </si>
  <si>
    <t>🍓 (£££)｜Warner's Rhubarb Gin</t>
  </si>
  <si>
    <t>🍉 (£££)｜Tanqueray Nº Ten</t>
  </si>
  <si>
    <t>🍓 (£)｜Edinburgh Gin Rhubarb &amp; Ginger Gin Liqueur</t>
  </si>
  <si>
    <t>🍓 (££)｜Slingsby Rhubarb Gin</t>
  </si>
  <si>
    <t>🍉 (££)｜Tanqueray Flor de Sevilla</t>
  </si>
  <si>
    <t>🍓 (££)｜Boë Violet Gin</t>
  </si>
  <si>
    <t>🍓 (££)｜Pinkster Gin</t>
  </si>
  <si>
    <t>🍓 (££)｜Whitley Neill Raspberry Gin</t>
  </si>
  <si>
    <t>🌱 (£££)｜Monkey 47 Gin</t>
  </si>
  <si>
    <t>🍓 (£)｜BOSFORD Rose</t>
  </si>
  <si>
    <t>🍋 (££)｜Portobello Road Gin</t>
  </si>
  <si>
    <t>🍋 (£)｜Greenall's Original</t>
  </si>
  <si>
    <t>🍓 (£)｜Beefeater Blood Orange</t>
  </si>
  <si>
    <t>🍋 (£)｜J.J Whitley Gin</t>
  </si>
  <si>
    <t>🍓 (££)｜Whitley Neill Blood Orange Gin</t>
  </si>
  <si>
    <t>🍓 (£)｜Edinburgh Gin Raspberry Gin Liqueur</t>
  </si>
  <si>
    <t>🍋 (£££)｜Plymouth Gin</t>
  </si>
  <si>
    <t xml:space="preserve">🍋 (£££)｜Edinburgh Gin </t>
  </si>
  <si>
    <t>🍉 (£££)｜Chase Pink Grapefruit &amp; Pomelo Gin</t>
  </si>
  <si>
    <t xml:space="preserve">🍋 (££)｜Martin Miller's Gin </t>
  </si>
  <si>
    <t>✿ (£££)｜BLOOM Original Gin</t>
  </si>
  <si>
    <t>🌶 (£££)｜OPIHR Gin</t>
  </si>
  <si>
    <t>🍉 (£££)｜Beefeater 24</t>
  </si>
  <si>
    <t>🍋 (£££)｜Cotswolds  Gin</t>
  </si>
  <si>
    <t>🍓 (££)｜Puerto de Indias Strawberry Gin</t>
  </si>
  <si>
    <t xml:space="preserve">✿  (£££)｜Aviation Gin </t>
  </si>
  <si>
    <t>✿ (££)｜Eden Mill Love Gin</t>
  </si>
  <si>
    <t>🍉 (££)｜Whitley Neill Gin</t>
  </si>
  <si>
    <t>🍓 (£££)｜Warner's Elderflower Gin</t>
  </si>
  <si>
    <t>✿ (£££)｜Hendrick's Midsummer Solstice</t>
  </si>
  <si>
    <t>🍋 (£££)｜Chase GB Gin</t>
  </si>
  <si>
    <t>✿ (£)｜J.J Whitley Elderflower Gin</t>
  </si>
  <si>
    <t>🍓 (££)｜Whitley Neill Quince Gin</t>
  </si>
  <si>
    <t>🍉 (££)｜Tanqueray Rangpur</t>
  </si>
  <si>
    <t>🍓 (£)｜Edinburgh Gin Elderflower Gin Liqueur</t>
  </si>
  <si>
    <t>🍉 (££)｜Eden Mill Original Gin</t>
  </si>
  <si>
    <t>🍉 (£££)｜Plymouth Sloe Gin</t>
  </si>
  <si>
    <t>✿ (£££)｜BLOOM Jasmine &amp; Rose Gin</t>
  </si>
  <si>
    <t>🍓 (££)｜Boë  Passion Gin</t>
  </si>
  <si>
    <t>🍓 (£)｜Greenall's Wild Berry Gin</t>
  </si>
  <si>
    <t>🍓 (££)｜Whitley Neill Parma Violet Gin</t>
  </si>
  <si>
    <t>🍋 (£££)｜Liverpool Gin</t>
  </si>
  <si>
    <t>🍋 (£££)｜No.3 Gin</t>
  </si>
  <si>
    <t>🌶 (£££)｜Death's Door Gin</t>
  </si>
  <si>
    <t>🍉 (£££)｜Brighton Gin</t>
  </si>
  <si>
    <t>✿ (£££)｜Tarquin's Gin</t>
  </si>
  <si>
    <t>🍉 (£££)｜Chase Seville Marmalade Gin</t>
  </si>
  <si>
    <t>🍓 (££)｜Boë Peach &amp; Hibiscus Gin Liqueur</t>
  </si>
  <si>
    <t>🍓 (££)｜GinTing Passionfruit, Mango &amp; Elderflower Gin</t>
  </si>
  <si>
    <t>🍋 (££)｜Hayman's Old Tom Gin</t>
  </si>
  <si>
    <t>🍉 (££)｜Chapel Down Bacchus Gin</t>
  </si>
  <si>
    <t>🍓 (£)｜Edinburgh Gin Plum &amp; Vanilla Gin Liqueur</t>
  </si>
  <si>
    <t>🍋 (££)｜Hayman's Gin</t>
  </si>
  <si>
    <t>🍓 (£££)｜Edinburgh Rhubarb &amp; Ginger Gin</t>
  </si>
  <si>
    <t>🍓 (£)｜Greenall's Blueberry Gin</t>
  </si>
  <si>
    <t>🍓 (£££)｜Liverpool Valencian Orange Gin</t>
  </si>
  <si>
    <t>🍉 (££)｜Slingsby Gin</t>
  </si>
  <si>
    <t>🍓 (£££)｜Chase Rhubarb &amp; Bramley Apple Gin</t>
  </si>
  <si>
    <t>🍓 (££)｜Slingsby Gooseberry Gin</t>
  </si>
  <si>
    <t>🍉 (£££)｜Copperhead Gin</t>
  </si>
  <si>
    <t xml:space="preserve">🍋 (£££)｜6 Oclock Gin </t>
  </si>
  <si>
    <t>🍋 (£££)｜City of London Gin</t>
  </si>
  <si>
    <t>🍓 (£££)｜Monkey 47 Sloe Gin</t>
  </si>
  <si>
    <t>🍓 (££)｜Aber Falls Orange Marmalade Gin</t>
  </si>
  <si>
    <t>✿ (££)｜Blackwoods Gin</t>
  </si>
  <si>
    <t>🍋 (£££)｜Thomas Dakin Gin</t>
  </si>
  <si>
    <t>🍉 (££)｜Burleighs Signature London Dry Gin</t>
  </si>
  <si>
    <t>✿ (££)｜Eden Mill Golf Gin</t>
  </si>
  <si>
    <t>🌶 (££)｜Eden Mill Oak Gin</t>
  </si>
  <si>
    <t>🍓 (££)｜Kopparberg Strawberry &amp; Lime Gin</t>
  </si>
  <si>
    <t>🍋 (££)｜Marylebone Gin</t>
  </si>
  <si>
    <t xml:space="preserve">🌱 (£££)｜Warner's Harrington Dry Gin </t>
  </si>
  <si>
    <t>🌱 (£££)｜Oxley Gin</t>
  </si>
  <si>
    <t>🍓 (££)｜Eden Mill Mango &amp; Pineapple Love Gin Liqueur</t>
  </si>
  <si>
    <t>🍓 (£££)｜Warner's Sloe Gin</t>
  </si>
  <si>
    <t>🌱 (££)｜Eden Mill Hop Gin</t>
  </si>
  <si>
    <t xml:space="preserve">✿ (£££)｜Edinburgh Seaside Gin </t>
  </si>
  <si>
    <t>🍉 (£££)｜Bottega Bacûr Gin</t>
  </si>
  <si>
    <t>🍓 (£££)｜6 O'clock Damson Gin</t>
  </si>
  <si>
    <t>🍓 (£££)｜Chase Aged Sloe &amp; Mulberry Gin</t>
  </si>
  <si>
    <t>🍓 (£££)｜Warner's Raspberry Gin</t>
  </si>
  <si>
    <t>✿ (££)｜Mayfield Elderflower &amp; Peach Gin Liqueur</t>
  </si>
  <si>
    <t xml:space="preserve">✿ </t>
  </si>
  <si>
    <t>🍉 (££)｜Caleño Juniper &amp; Inca Berry</t>
  </si>
  <si>
    <t>Product Recommendations</t>
  </si>
  <si>
    <t>🍋 (£)｜Other Standard Juniper</t>
  </si>
  <si>
    <t>🍋 (££)｜Other Premium Juniper</t>
  </si>
  <si>
    <t>🍉 (££)｜Other Premium Citrus</t>
  </si>
  <si>
    <t>🌶 (££)｜Other Premium Spiced</t>
  </si>
  <si>
    <t>🌱 (££)｜Other Premium Herbaceous</t>
  </si>
  <si>
    <t>✿ (££)｜Other Premium Floral</t>
  </si>
  <si>
    <t>🍓 (££)｜Other Premium Fruit</t>
  </si>
  <si>
    <t>🍋 (£££)｜Other Super Premium Juniper</t>
  </si>
  <si>
    <t>🍉 (£££)｜Other Super Premium Citrus</t>
  </si>
  <si>
    <t>🌶 (£££)｜Other Super Premium Spiced</t>
  </si>
  <si>
    <t>🌱 (£££)｜Other Super Premium Herbaceous</t>
  </si>
  <si>
    <t>✿ (£££)｜Other Super Premium Floral</t>
  </si>
  <si>
    <t>🍓 (£££)｜Other Super Premium Fruit</t>
  </si>
  <si>
    <t>🍉  (£)｜Other Standard Citrus</t>
  </si>
  <si>
    <t>✿ (£)｜Other Standard Floral</t>
  </si>
  <si>
    <t>🍓 (£)｜Other Standard Fruit</t>
  </si>
  <si>
    <t>🌱 (£)｜Other Standard Herbaceous</t>
  </si>
  <si>
    <t>🌶 (£)｜Other Standard Spiced</t>
  </si>
  <si>
    <t xml:space="preserve">🍉  </t>
  </si>
  <si>
    <t>Recommendation</t>
  </si>
  <si>
    <t>If you we're to make one change. Here is what we would recommend based on your current range and outlet style.</t>
  </si>
  <si>
    <t>Please manually enter</t>
  </si>
  <si>
    <t>Code</t>
  </si>
  <si>
    <t>SIZELARGE</t>
  </si>
  <si>
    <t>FULLO2</t>
  </si>
  <si>
    <t>X</t>
  </si>
  <si>
    <t>No remove</t>
  </si>
  <si>
    <t>new</t>
  </si>
  <si>
    <t>dif</t>
  </si>
  <si>
    <t>Input the total spirit range size:</t>
  </si>
  <si>
    <t>🍓 (££) ｜Zymurgorium Unicorn Gin Liqueur</t>
  </si>
  <si>
    <t>🍓 (££) ｜Zymurgorium Sweet Violet Gin Liqueur</t>
  </si>
  <si>
    <t>🍓 (££) ｜Larios Rose</t>
  </si>
  <si>
    <t>🍉 (£) ｜Larios Gin</t>
  </si>
  <si>
    <t>🍋 (££) ｜Langleys No.8 Gin</t>
  </si>
  <si>
    <t>🌱 (£££) ｜Gin Mare</t>
  </si>
  <si>
    <t>🍓 (£££) ｜Didsbury Raspberry and Elderflower</t>
  </si>
  <si>
    <t>🍋 (£) ｜Christophers Gin</t>
  </si>
  <si>
    <t>🍉 (£££) ｜Brookie's Byron Dry Gin</t>
  </si>
  <si>
    <t>Beefeater Dry</t>
  </si>
  <si>
    <t>Bombay English Estate</t>
  </si>
  <si>
    <t>Bombay Sapphire</t>
  </si>
  <si>
    <t>Bulldog</t>
  </si>
  <si>
    <t>Burleighs Signature London Dry Gin</t>
  </si>
  <si>
    <t>Caleño Juniper &amp; Inca Berry</t>
  </si>
  <si>
    <t>Chapel Down Bacchus Gin</t>
  </si>
  <si>
    <t>Eden Mill Original Gin</t>
  </si>
  <si>
    <t>Slingsby Gin</t>
  </si>
  <si>
    <t>Tanqueray Flor de Sevilla</t>
  </si>
  <si>
    <t>Tanqueray Rangpur</t>
  </si>
  <si>
    <t>Whitley Neill Gin</t>
  </si>
  <si>
    <t>Beefeater 24</t>
  </si>
  <si>
    <t>Bottega Bacûr Gin</t>
  </si>
  <si>
    <t>Brighton Gin</t>
  </si>
  <si>
    <t>Chase Pink Grapefruit &amp; Pomelo Gin</t>
  </si>
  <si>
    <t>Chase Seville Marmalade Gin</t>
  </si>
  <si>
    <t>Copperhead Gin</t>
  </si>
  <si>
    <t>Plymouth Sloe Gin</t>
  </si>
  <si>
    <t>Star Of Bomaby</t>
  </si>
  <si>
    <t>Tanqueray Nº Ten</t>
  </si>
  <si>
    <t>J.J Whitley Elderflower Gin</t>
  </si>
  <si>
    <t>Blackwoods Gin</t>
  </si>
  <si>
    <t>Eden Mill Golf Gin</t>
  </si>
  <si>
    <t>Eden Mill Love Gin</t>
  </si>
  <si>
    <t>Mayfield Elderflower &amp; Peach Gin Liqueur</t>
  </si>
  <si>
    <t>BLOOM Jasmine &amp; Rose Gin</t>
  </si>
  <si>
    <t>BLOOM Original Gin</t>
  </si>
  <si>
    <t>Caorunn Gin</t>
  </si>
  <si>
    <t>Edinburgh Seaside Gin</t>
  </si>
  <si>
    <t>Hendrick's Midsummer Solstice</t>
  </si>
  <si>
    <t>Tarquin's Gin</t>
  </si>
  <si>
    <t>The Botanist</t>
  </si>
  <si>
    <t>Aviation Gin</t>
  </si>
  <si>
    <t>Hendrick's Gin</t>
  </si>
  <si>
    <t>Beefeater Blood Orange</t>
  </si>
  <si>
    <t>Beefeater Pink</t>
  </si>
  <si>
    <t>BOSFORD Rose</t>
  </si>
  <si>
    <t>Edinburgh Gin Elderflower Gin Liqueur</t>
  </si>
  <si>
    <t>Edinburgh Gin Plum &amp; Vanilla Gin Liqueur</t>
  </si>
  <si>
    <t>Edinburgh Gin Raspberry Gin Liqueur</t>
  </si>
  <si>
    <t>Edinburgh Gin Rhubarb &amp; Ginger Gin Liqueur</t>
  </si>
  <si>
    <t>Gordon’s Pink Gin</t>
  </si>
  <si>
    <t>Greenall's Blueberry Gin</t>
  </si>
  <si>
    <t>Greenall's Wild Berry Gin</t>
  </si>
  <si>
    <t>Aber Falls Orange Marmalade Gin</t>
  </si>
  <si>
    <t>Boë Peach &amp; Hibiscus Gin Liqueur</t>
  </si>
  <si>
    <t>Boë Violet Gin</t>
  </si>
  <si>
    <t>Eden Mill Mango &amp; Pineapple Love Gin Liqueur</t>
  </si>
  <si>
    <t>Eden Mill Raspberry, Vanilla &amp; Meringue Love Gin Liqueur</t>
  </si>
  <si>
    <t>GinTing Passionfruit, Mango &amp; Elderflower Gin</t>
  </si>
  <si>
    <t>Kopparberg Strawberry &amp; Lime Gin</t>
  </si>
  <si>
    <t>Pinkster Gin</t>
  </si>
  <si>
    <t>Puerto de Indias Strawberry Gin</t>
  </si>
  <si>
    <t>Slingsby Gooseberry Gin</t>
  </si>
  <si>
    <t>Slingsby Rhubarb Gin</t>
  </si>
  <si>
    <t>Whitley Neill Blackberry Gin</t>
  </si>
  <si>
    <t>Whitley Neill Blood Orange Gin</t>
  </si>
  <si>
    <t>Whitley Neill Parma Violet Gin</t>
  </si>
  <si>
    <t>Whitley Neill Quince Gin</t>
  </si>
  <si>
    <t>Whitley Neill Raspberry Gin</t>
  </si>
  <si>
    <t>Whitley Neill Rhubarb &amp; Ginger Gin</t>
  </si>
  <si>
    <t>O'clock Damson Gin</t>
  </si>
  <si>
    <t>Brockmans</t>
  </si>
  <si>
    <t>Caorunn Scottish Raspberry</t>
  </si>
  <si>
    <t>Chase Aged Sloe &amp; Mulberry Gin</t>
  </si>
  <si>
    <t>Chase Rhubarb &amp; Bramley Apple Gin</t>
  </si>
  <si>
    <t>Edinburgh Rhubarb &amp; Ginger Gin</t>
  </si>
  <si>
    <t>Liverpool Valencian Orange Gin</t>
  </si>
  <si>
    <t>Monkey 47 Sloe Gin</t>
  </si>
  <si>
    <t>Warner's Elderflower Gin</t>
  </si>
  <si>
    <t>Warner's Raspberry Gin</t>
  </si>
  <si>
    <t>Warner's Rhubarb Gin</t>
  </si>
  <si>
    <t>Warner's Sloe Gin</t>
  </si>
  <si>
    <t>Eden Mill Hop Gin</t>
  </si>
  <si>
    <t>Elephant Gin</t>
  </si>
  <si>
    <t>Monkey 47 Gin</t>
  </si>
  <si>
    <t>Oxley Gin</t>
  </si>
  <si>
    <t>Warner's Harrington Dry Gin</t>
  </si>
  <si>
    <t>Ceder's Classic</t>
  </si>
  <si>
    <t>Gordon’s Original</t>
  </si>
  <si>
    <t>Greenall's Original</t>
  </si>
  <si>
    <t>J.J Whitley Gin</t>
  </si>
  <si>
    <t>Hayman's Gin</t>
  </si>
  <si>
    <t>Hayman's Old Tom Gin</t>
  </si>
  <si>
    <t>Martin Miller's Gin</t>
  </si>
  <si>
    <t>Marylebone Gin</t>
  </si>
  <si>
    <t>Portobello Road Gin</t>
  </si>
  <si>
    <t>Tanqueray Gin</t>
  </si>
  <si>
    <t>Oclock Gin</t>
  </si>
  <si>
    <t>Chase GB Gin</t>
  </si>
  <si>
    <t>City of London Gin</t>
  </si>
  <si>
    <t>Edinburgh Gin</t>
  </si>
  <si>
    <t>Fifty Pounds Gin</t>
  </si>
  <si>
    <t>Liverpool Gin</t>
  </si>
  <si>
    <t>No.3 Gin</t>
  </si>
  <si>
    <t>Plymouth Gin</t>
  </si>
  <si>
    <t>Thomas Dakin Gin</t>
  </si>
  <si>
    <t>Eden Mill Oak Gin</t>
  </si>
  <si>
    <t>Death's Door Gin</t>
  </si>
  <si>
    <t>OPIHR Gin</t>
  </si>
  <si>
    <t>Other Standard Citrus</t>
  </si>
  <si>
    <t>Other Premium Citrus</t>
  </si>
  <si>
    <t>Other Super Premium Citrus</t>
  </si>
  <si>
    <t>Other Standard Floral</t>
  </si>
  <si>
    <t>Other Premium Floral</t>
  </si>
  <si>
    <t>Other Super Premium Floral</t>
  </si>
  <si>
    <t>Other Standard Fruit</t>
  </si>
  <si>
    <t>Other Premium Fruit</t>
  </si>
  <si>
    <t>Other Super Premium Fruit</t>
  </si>
  <si>
    <t>Other Standard Herbaceous</t>
  </si>
  <si>
    <t>Other Premium Herbaceous</t>
  </si>
  <si>
    <t>Other Super Premium Herbaceous</t>
  </si>
  <si>
    <t>Other Standard Juniper</t>
  </si>
  <si>
    <t>Other Premium Juniper</t>
  </si>
  <si>
    <t>Other Super Premium Juniper</t>
  </si>
  <si>
    <t>Other Standard Spiced</t>
  </si>
  <si>
    <t>Other Premium Spiced</t>
  </si>
  <si>
    <t>Other Super Premium Spiced</t>
  </si>
  <si>
    <t>Zymurgorium Unicorn Gin Liqueur</t>
  </si>
  <si>
    <t>Zymurgorium Sweet Violet Gin Liqueur</t>
  </si>
  <si>
    <t>Sipsmith London Dry Gin</t>
  </si>
  <si>
    <t>Silent Pool Gin</t>
  </si>
  <si>
    <t>Larios Rose</t>
  </si>
  <si>
    <t>Larios Gin</t>
  </si>
  <si>
    <t>Langleys No.8 Gin</t>
  </si>
  <si>
    <t>Gin Mare</t>
  </si>
  <si>
    <t>Didsbury Raspberry and Elderflower</t>
  </si>
  <si>
    <t>Christophers Gin</t>
  </si>
  <si>
    <t>Brookie's Byron Dry Gin</t>
  </si>
  <si>
    <t>Brokers Gin</t>
  </si>
  <si>
    <t>Bombay Dry Gin</t>
  </si>
  <si>
    <t>Boë Passion Gin</t>
  </si>
  <si>
    <t>Cotswolds Gin</t>
  </si>
  <si>
    <t>🍋 (££)｜Bombay Dry Gin</t>
  </si>
  <si>
    <t>🍋 (££)｜Brokers Gin</t>
  </si>
  <si>
    <t>🍋 (£££)｜Silent Pool Gin</t>
  </si>
  <si>
    <t>🍋 (£££)｜Sipsmith London Dry Gin</t>
  </si>
  <si>
    <t>Keep</t>
  </si>
  <si>
    <t>Product Overview</t>
  </si>
  <si>
    <t xml:space="preserve">✿ (£££)｜Aviation Gin </t>
  </si>
  <si>
    <t>✿ (£££)｜Hendrick's Gin</t>
  </si>
  <si>
    <t>🍋 (£££)｜Cotswolds Gin</t>
  </si>
  <si>
    <t>🍓 (££)｜Boë Passion Gin</t>
  </si>
  <si>
    <t>Review a range, receive personalised recommendations and
sell more gin!</t>
  </si>
  <si>
    <t>Range size is more than 40% larger than expected</t>
  </si>
  <si>
    <t>Range size is two or more bottles larger than expected but less than or equal to 40% larger than expected</t>
  </si>
  <si>
    <t>Outlets are stocking 3 times more brands than 4 years ago with good reason. The gin category is growing at 55.2% and represents 18.8% of spirits value. Find below how you could improve your range and make more from gin.</t>
  </si>
  <si>
    <t xml:space="preserve">This is a good score and a good range. But gin is growing at 55.2% and represents 18.8% of spirits value. Find out recommendations on flavour profile and structure that could help you make more from gin. </t>
  </si>
  <si>
    <t>It looks like you’ve embraced the gin boom. That said, there is always room for improvement right!? Below you'll find our comments on how your range could be improved based on its size, flavour profile balance and structure.</t>
  </si>
  <si>
    <t xml:space="preserve">Is there ever such a thing as too much gin? Usually not, but volume gains decrease as the number of brands on the back bar increase. Adding a little focus your range will ensure you make the most of the stock you have and keep it easy for staff to sell. </t>
  </si>
  <si>
    <t xml:space="preserve">You have slightly more gins than we would recommend. While giving choice to your customers is good, adding a little focus to your range could ensure you keep your volume up and make it easy for staff to sell. </t>
  </si>
  <si>
    <t>Your range has room to grow. Adding just a few more brands can considerably increase your gin volume overall. Offering the right range of flavour profiles and price points will allow you to fully exploit this trend.</t>
  </si>
  <si>
    <t>The size of your gin range is in line with what we would expect from your style of outlet. Introducing a guest gin, local or fruit for example could temp the 1 in 4 customers who enjoy trying new drinks but usually choose a brand they know.</t>
  </si>
  <si>
    <t>The size of your gin range is exactly what we would expect from your style of outlet. Introducing a guest gin, local or fruit for example could temp the 1 in 4 customers who enjoy trying new drinks but usually choose a brand they know.</t>
  </si>
  <si>
    <t>While most gin volume and value are driven by just a few brands, creating an upsell ladder with more premium gins is key to increase the value of your gin sales overall. Try adding some premium and super premium gins across key flavour profile as a start.</t>
  </si>
  <si>
    <t>While most gin volume and value are driven by just a few brands, creating an upsell ladder with more premium gins is key to increase the value of your gin sales overall. Try adding a premium or super premium gin that hits a key flavour profile to start.</t>
  </si>
  <si>
    <t xml:space="preserve">While premium and super premium gins are great to excite consumers through choice, it's important that 'volume driver' products are still accessible. Standard gins signpost the category, allowing for the formation of a pricing ladder for customers to climb. </t>
  </si>
  <si>
    <t xml:space="preserve">While your range is skewed slightly premium, while we wouldn’t recommend significant changes, your range may benefit from the addition of a ‘volume driver’ gin as the top 5 brands deliver over 70% of gin volume. </t>
  </si>
  <si>
    <t xml:space="preserve">Your gin range has the ideal mix of standard, premium and super premium gins. Easy for your customers to navigate and for staff to sell. While you do not need to make changes, you could add an additional premium gin matching a flavour profile you do not currently stock.  </t>
  </si>
  <si>
    <t xml:space="preserve">With consumers drinking an average of 6 gin brands, there is a significant opportunity to sell more by introducing a broader range with more flavours. </t>
  </si>
  <si>
    <t xml:space="preserve">With consumers drinking an average of 6 gin brands, there is a plenty of opportunity to sell more by introducing a broader range with more flavours. </t>
  </si>
  <si>
    <t>It looks like you have a good base of the flavour profiles but you could encourage customers explore and move up your pricing ladder by adding a more varied range of gins.</t>
  </si>
  <si>
    <t xml:space="preserve">It looks like you’re making the most of the innovations in the market. We wouldn’t suggest any changes but regularly review the most popular flavours for your outlet. </t>
  </si>
  <si>
    <t xml:space="preserve">It looks like you’re making the most of the innovations in the market. We wouldn’t suggest major changes but do review the most popular flavours for your outlet. </t>
  </si>
  <si>
    <t>Need help?</t>
  </si>
  <si>
    <t>Watch the video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</si>
</sst>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75" x14ac:knownFonts="1">
    <font>
      <sz val="11"/>
      <color theme="1"/>
      <name val="Calibri"/>
      <family val="2"/>
      <scheme val="minor"/>
    </font>
    <font>
      <sz val="11"/>
      <color theme="0"/>
      <name val="Calibri"/>
      <family val="2"/>
      <scheme val="minor"/>
    </font>
    <font>
      <b/>
      <sz val="11"/>
      <color theme="1"/>
      <name val="BasicCommercial LT Com Light"/>
      <family val="2"/>
    </font>
    <font>
      <sz val="10"/>
      <color theme="1"/>
      <name val="BasicCommercial LT Com Light"/>
      <family val="2"/>
    </font>
    <font>
      <b/>
      <sz val="10"/>
      <color theme="1" tint="0.249977111117893"/>
      <name val="BasicCommercial LT Com Light"/>
      <family val="2"/>
    </font>
    <font>
      <b/>
      <sz val="10"/>
      <color rgb="FFE25D22"/>
      <name val="BasicCommercial LT Com Light"/>
      <family val="2"/>
    </font>
    <font>
      <b/>
      <sz val="10"/>
      <color theme="1"/>
      <name val="BasicCommercial LT Com Light"/>
      <family val="2"/>
    </font>
    <font>
      <u/>
      <sz val="11"/>
      <color theme="10"/>
      <name val="Calibri"/>
      <family val="2"/>
      <scheme val="minor"/>
    </font>
    <font>
      <b/>
      <sz val="10"/>
      <color theme="0"/>
      <name val="BasicCommercial LT Com Light"/>
      <family val="2"/>
    </font>
    <font>
      <u/>
      <sz val="10"/>
      <color theme="10"/>
      <name val="BasicCommercial LT Com Light"/>
      <family val="2"/>
    </font>
    <font>
      <b/>
      <sz val="11"/>
      <color rgb="FF00A4AE"/>
      <name val="BasicCommercial LT Com Light"/>
      <family val="2"/>
    </font>
    <font>
      <b/>
      <sz val="12"/>
      <color theme="1"/>
      <name val="BasicCommercial LT Com Light"/>
      <family val="2"/>
    </font>
    <font>
      <b/>
      <sz val="20"/>
      <color theme="1"/>
      <name val="BasicCommercial LT Com Light"/>
      <family val="2"/>
    </font>
    <font>
      <sz val="10"/>
      <color theme="1"/>
      <name val="Calibri"/>
      <family val="2"/>
      <scheme val="minor"/>
    </font>
    <font>
      <b/>
      <sz val="10"/>
      <color rgb="FFC55190"/>
      <name val="BasicCommercial LT Com Light"/>
      <family val="2"/>
    </font>
    <font>
      <sz val="10"/>
      <color theme="0"/>
      <name val="Calibri"/>
      <family val="2"/>
      <scheme val="minor"/>
    </font>
    <font>
      <sz val="10"/>
      <color theme="0"/>
      <name val="Serifa Std 45 Light"/>
      <family val="1"/>
    </font>
    <font>
      <b/>
      <sz val="9"/>
      <color theme="1" tint="0.14999847407452621"/>
      <name val="BasicCommercial LT Com Light"/>
      <family val="2"/>
    </font>
    <font>
      <sz val="9"/>
      <color theme="1"/>
      <name val="Calibri"/>
      <family val="2"/>
      <scheme val="minor"/>
    </font>
    <font>
      <b/>
      <sz val="9"/>
      <color theme="1"/>
      <name val="Calibri"/>
      <family val="2"/>
      <scheme val="minor"/>
    </font>
    <font>
      <b/>
      <sz val="9"/>
      <color theme="1" tint="0.249977111117893"/>
      <name val="BasicCommercial LT Com Light"/>
      <family val="2"/>
    </font>
    <font>
      <sz val="9"/>
      <color theme="1" tint="0.249977111117893"/>
      <name val="Calibri"/>
      <family val="2"/>
      <scheme val="minor"/>
    </font>
    <font>
      <b/>
      <sz val="9"/>
      <color rgb="FFE25D22"/>
      <name val="BasicCommercial LT Com Light"/>
      <family val="2"/>
    </font>
    <font>
      <b/>
      <sz val="9"/>
      <color theme="1"/>
      <name val="BasicCommercial LT Com Light"/>
      <family val="2"/>
    </font>
    <font>
      <sz val="11"/>
      <color theme="1"/>
      <name val="BasicCommercial LT Com Light"/>
      <family val="2"/>
    </font>
    <font>
      <sz val="11"/>
      <color rgb="FF000000"/>
      <name val="BasicCommercial LT Com Light"/>
      <family val="2"/>
    </font>
    <font>
      <b/>
      <u/>
      <sz val="11"/>
      <color theme="1"/>
      <name val="BasicCommercial LT Com Light"/>
      <family val="2"/>
    </font>
    <font>
      <i/>
      <sz val="11"/>
      <color theme="1"/>
      <name val="BasicCommercial LT Com Light"/>
      <family val="2"/>
    </font>
    <font>
      <b/>
      <u/>
      <sz val="11"/>
      <color theme="1" tint="0.499984740745262"/>
      <name val="BasicCommercial LT Com Light"/>
      <family val="2"/>
    </font>
    <font>
      <sz val="11"/>
      <color theme="1" tint="0.499984740745262"/>
      <name val="BasicCommercial LT Com Light"/>
      <family val="2"/>
    </font>
    <font>
      <b/>
      <sz val="11"/>
      <color theme="1" tint="0.499984740745262"/>
      <name val="BasicCommercial LT Com Light"/>
      <family val="2"/>
    </font>
    <font>
      <sz val="11"/>
      <color theme="0"/>
      <name val="BasicCommercial LT Com Light"/>
      <family val="2"/>
    </font>
    <font>
      <u/>
      <sz val="11"/>
      <color theme="1"/>
      <name val="BasicCommercial LT Com Light"/>
      <family val="2"/>
    </font>
    <font>
      <b/>
      <sz val="16"/>
      <color rgb="FFC75391"/>
      <name val="BasicCommercial LT Com Light"/>
      <family val="2"/>
    </font>
    <font>
      <b/>
      <sz val="10"/>
      <color theme="2" tint="-0.499984740745262"/>
      <name val="BasicCommercial LT Com Light"/>
      <family val="2"/>
    </font>
    <font>
      <b/>
      <sz val="10"/>
      <color theme="0" tint="-0.499984740745262"/>
      <name val="BasicCommercial LT Com Light"/>
      <family val="2"/>
    </font>
    <font>
      <i/>
      <sz val="9"/>
      <color theme="1" tint="0.249977111117893"/>
      <name val="BasicCommercial LT Com Light"/>
      <family val="2"/>
    </font>
    <font>
      <b/>
      <sz val="9"/>
      <color theme="0" tint="-0.499984740745262"/>
      <name val="BasicCommercial LT Com Light"/>
      <family val="2"/>
    </font>
    <font>
      <b/>
      <sz val="18"/>
      <color theme="1"/>
      <name val="BasicCommercial LT Com Light"/>
      <family val="2"/>
    </font>
    <font>
      <sz val="9"/>
      <color theme="1"/>
      <name val="BasicCommercial LT Com Light"/>
      <family val="2"/>
    </font>
    <font>
      <sz val="10"/>
      <color rgb="FF222222"/>
      <name val="Arial"/>
      <family val="2"/>
    </font>
    <font>
      <b/>
      <sz val="10"/>
      <color rgb="FFBE2E89"/>
      <name val="BasicCommercial LT Com Light"/>
      <family val="2"/>
    </font>
    <font>
      <b/>
      <sz val="9"/>
      <color rgb="FFBE2E89"/>
      <name val="BasicCommercial LT Com Light"/>
      <family val="2"/>
    </font>
    <font>
      <b/>
      <sz val="16"/>
      <color rgb="FFBE2E89"/>
      <name val="BasicCommercial LT Com Light"/>
      <family val="2"/>
    </font>
    <font>
      <b/>
      <sz val="16"/>
      <color theme="1"/>
      <name val="BasicCommercial LT Com Light"/>
      <family val="2"/>
    </font>
    <font>
      <b/>
      <sz val="8"/>
      <color theme="1" tint="0.249977111117893"/>
      <name val="BasicCommercial LT Com Light"/>
      <family val="2"/>
    </font>
    <font>
      <b/>
      <sz val="18"/>
      <color rgb="FFBE2E89"/>
      <name val="BasicCommercial LT Com Light"/>
      <family val="2"/>
    </font>
    <font>
      <i/>
      <sz val="9"/>
      <color theme="1"/>
      <name val="BasicCommercial LT Com Light"/>
      <family val="2"/>
    </font>
    <font>
      <sz val="18"/>
      <color rgb="FF522D46"/>
      <name val="Serifa Std 45 Light"/>
      <family val="1"/>
    </font>
    <font>
      <b/>
      <sz val="18"/>
      <color rgb="FF522D46"/>
      <name val="BasicCommercial LT Com Light"/>
      <family val="2"/>
    </font>
    <font>
      <sz val="8"/>
      <color theme="1"/>
      <name val="BasicCommercial LT Com Light"/>
      <family val="2"/>
    </font>
    <font>
      <b/>
      <sz val="11"/>
      <color rgb="FFBE2E89"/>
      <name val="BasicCommercial LT Com Light"/>
      <family val="2"/>
    </font>
    <font>
      <b/>
      <sz val="11"/>
      <color theme="1" tint="0.34998626667073579"/>
      <name val="BasicCommercial LT Com Light"/>
      <family val="2"/>
    </font>
    <font>
      <b/>
      <sz val="10"/>
      <color theme="1" tint="0.34998626667073579"/>
      <name val="BasicCommercial LT Com Light"/>
      <family val="2"/>
    </font>
    <font>
      <i/>
      <sz val="8"/>
      <color rgb="FFBE2E89"/>
      <name val="BasicCommercial LT Com Light"/>
      <family val="2"/>
    </font>
    <font>
      <sz val="10"/>
      <color theme="1" tint="0.34998626667073579"/>
      <name val="Calibri"/>
      <family val="2"/>
      <scheme val="minor"/>
    </font>
    <font>
      <i/>
      <sz val="9"/>
      <color theme="1" tint="0.34998626667073579"/>
      <name val="BasicCommercial LT Com Light"/>
      <family val="2"/>
    </font>
    <font>
      <i/>
      <sz val="8"/>
      <color theme="1" tint="0.34998626667073579"/>
      <name val="BasicCommercial LT Com Light"/>
      <family val="2"/>
    </font>
    <font>
      <u/>
      <sz val="9"/>
      <color theme="1"/>
      <name val="BasicCommercial LT Com Light"/>
      <family val="2"/>
    </font>
    <font>
      <b/>
      <sz val="11"/>
      <color theme="1"/>
      <name val="Calibri"/>
      <family val="2"/>
      <scheme val="minor"/>
    </font>
    <font>
      <b/>
      <sz val="16"/>
      <color rgb="FF522D46"/>
      <name val="BasicCommercial LT Com Light"/>
      <family val="2"/>
    </font>
    <font>
      <b/>
      <sz val="11"/>
      <color theme="1" tint="0.14999847407452621"/>
      <name val="BasicCommercial LT Com Light"/>
      <family val="2"/>
    </font>
    <font>
      <b/>
      <sz val="10"/>
      <color theme="1" tint="0.14999847407452621"/>
      <name val="BasicCommercial LT Com Light"/>
      <family val="2"/>
    </font>
    <font>
      <b/>
      <sz val="26"/>
      <color rgb="FFBE2E89"/>
      <name val="BasicCommercial LT Com Light"/>
      <family val="2"/>
    </font>
    <font>
      <u/>
      <sz val="9"/>
      <color theme="0" tint="-0.499984740745262"/>
      <name val="BasicCommercial LT Com Light"/>
      <family val="2"/>
    </font>
    <font>
      <sz val="9"/>
      <color theme="0" tint="-0.499984740745262"/>
      <name val="BasicCommercial LT Com Light"/>
      <family val="2"/>
    </font>
    <font>
      <b/>
      <u/>
      <sz val="9"/>
      <color theme="0" tint="-0.499984740745262"/>
      <name val="BasicCommercial LT Com Light"/>
      <family val="2"/>
    </font>
    <font>
      <sz val="10"/>
      <color theme="0" tint="-0.499984740745262"/>
      <name val="Calibri"/>
      <family val="2"/>
      <scheme val="minor"/>
    </font>
    <font>
      <b/>
      <sz val="11"/>
      <color theme="1" tint="0.14999847407452621"/>
      <name val="Calibri"/>
      <family val="2"/>
      <scheme val="minor"/>
    </font>
    <font>
      <b/>
      <sz val="11"/>
      <color theme="1" tint="0.249977111117893"/>
      <name val="BasicCommercial LT Com Light"/>
      <family val="2"/>
    </font>
    <font>
      <b/>
      <sz val="11"/>
      <color theme="1" tint="0.249977111117893"/>
      <name val="Calibri"/>
      <family val="2"/>
      <scheme val="minor"/>
    </font>
    <font>
      <sz val="10"/>
      <color theme="1" tint="0.249977111117893"/>
      <name val="BasicCommercial LT Com Light"/>
      <family val="2"/>
    </font>
    <font>
      <sz val="11"/>
      <color theme="1" tint="0.249977111117893"/>
      <name val="Calibri"/>
      <family val="2"/>
      <scheme val="minor"/>
    </font>
    <font>
      <sz val="8"/>
      <color theme="1" tint="0.249977111117893"/>
      <name val="BasicCommercial LT Com Light"/>
      <family val="2"/>
    </font>
    <font>
      <b/>
      <sz val="26"/>
      <color theme="1" tint="0.249977111117893"/>
      <name val="BasicCommercial LT Com Light"/>
      <family val="2"/>
    </font>
  </fonts>
  <fills count="14">
    <fill>
      <patternFill patternType="none"/>
    </fill>
    <fill>
      <patternFill patternType="gray125"/>
    </fill>
    <fill>
      <patternFill patternType="solid">
        <fgColor rgb="FF00A494"/>
        <bgColor indexed="64"/>
      </patternFill>
    </fill>
    <fill>
      <patternFill patternType="solid">
        <fgColor theme="0"/>
        <bgColor indexed="64"/>
      </patternFill>
    </fill>
    <fill>
      <patternFill patternType="solid">
        <fgColor theme="1" tint="0.499984740745262"/>
        <bgColor auto="1"/>
      </patternFill>
    </fill>
    <fill>
      <patternFill patternType="solid">
        <fgColor rgb="FFEE860E"/>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gradientFill>
        <stop position="0">
          <color rgb="FFE25D22"/>
        </stop>
        <stop position="1">
          <color rgb="FFF59E00"/>
        </stop>
      </gradientFill>
    </fill>
    <fill>
      <patternFill patternType="solid">
        <fgColor theme="0" tint="-0.249977111117893"/>
        <bgColor indexed="64"/>
      </patternFill>
    </fill>
    <fill>
      <gradientFill degree="90">
        <stop position="0">
          <color rgb="FFBE2E89"/>
        </stop>
        <stop position="1">
          <color rgb="FF522D46"/>
        </stop>
      </gradientFill>
    </fill>
    <fill>
      <gradientFill>
        <stop position="0">
          <color rgb="FFBE2E89"/>
        </stop>
        <stop position="1">
          <color rgb="FF522D46"/>
        </stop>
      </gradientFill>
    </fill>
    <fill>
      <patternFill patternType="solid">
        <fgColor rgb="FFBE2E89"/>
        <bgColor indexed="64"/>
      </patternFill>
    </fill>
  </fills>
  <borders count="24">
    <border>
      <left/>
      <right/>
      <top/>
      <bottom/>
      <diagonal/>
    </border>
    <border>
      <left/>
      <right/>
      <top/>
      <bottom style="thin">
        <color auto="1"/>
      </bottom>
      <diagonal/>
    </border>
    <border>
      <left/>
      <right style="thin">
        <color auto="1"/>
      </right>
      <top/>
      <bottom/>
      <diagonal/>
    </border>
    <border>
      <left/>
      <right/>
      <top style="thin">
        <color auto="1"/>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hair">
        <color auto="1"/>
      </top>
      <bottom style="hair">
        <color auto="1"/>
      </bottom>
      <diagonal/>
    </border>
    <border>
      <left/>
      <right style="thick">
        <color rgb="FF59344D"/>
      </right>
      <top/>
      <bottom/>
      <diagonal/>
    </border>
    <border>
      <left/>
      <right style="thick">
        <color rgb="FFE66019"/>
      </right>
      <top/>
      <bottom/>
      <diagonal/>
    </border>
    <border>
      <left/>
      <right style="thick">
        <color rgb="FFA49700"/>
      </right>
      <top/>
      <bottom/>
      <diagonal/>
    </border>
    <border>
      <left/>
      <right style="thick">
        <color rgb="FF934011"/>
      </right>
      <top/>
      <bottom/>
      <diagonal/>
    </border>
    <border>
      <left/>
      <right style="thick">
        <color rgb="FF005477"/>
      </right>
      <top/>
      <bottom/>
      <diagonal/>
    </border>
    <border>
      <left/>
      <right style="thick">
        <color rgb="FFC4305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protection locked="0"/>
    </xf>
    <xf numFmtId="0" fontId="7" fillId="0" borderId="0" applyNumberFormat="0" applyFill="0" applyBorder="0" applyAlignment="0" applyProtection="0"/>
  </cellStyleXfs>
  <cellXfs count="234">
    <xf numFmtId="0" fontId="0" fillId="0" borderId="0" xfId="0">
      <protection locked="0"/>
    </xf>
    <xf numFmtId="0" fontId="0" fillId="3" borderId="0" xfId="0" applyFill="1">
      <protection locked="0"/>
    </xf>
    <xf numFmtId="0" fontId="0" fillId="7" borderId="0" xfId="0" applyFill="1">
      <protection locked="0"/>
    </xf>
    <xf numFmtId="0" fontId="1" fillId="7" borderId="0" xfId="0" applyFont="1" applyFill="1">
      <protection locked="0"/>
    </xf>
    <xf numFmtId="0" fontId="2" fillId="0" borderId="0" xfId="0" applyFont="1">
      <protection locked="0"/>
    </xf>
    <xf numFmtId="0" fontId="24" fillId="0" borderId="0" xfId="0" applyFont="1">
      <protection locked="0"/>
    </xf>
    <xf numFmtId="0" fontId="2" fillId="3" borderId="0" xfId="0" applyFont="1" applyFill="1">
      <protection locked="0"/>
    </xf>
    <xf numFmtId="0" fontId="24" fillId="3" borderId="0" xfId="0" applyFont="1" applyFill="1">
      <protection locked="0"/>
    </xf>
    <xf numFmtId="0" fontId="25" fillId="3" borderId="0" xfId="0" applyFont="1" applyFill="1" applyAlignment="1">
      <alignment vertical="center"/>
      <protection locked="0"/>
    </xf>
    <xf numFmtId="0" fontId="24" fillId="3" borderId="1" xfId="0" applyFont="1" applyFill="1" applyBorder="1">
      <protection locked="0"/>
    </xf>
    <xf numFmtId="0" fontId="26" fillId="3" borderId="0" xfId="0" applyFont="1" applyFill="1">
      <protection locked="0"/>
    </xf>
    <xf numFmtId="0" fontId="24" fillId="3" borderId="6" xfId="0" applyFont="1" applyFill="1" applyBorder="1">
      <protection locked="0"/>
    </xf>
    <xf numFmtId="0" fontId="24" fillId="3" borderId="0" xfId="0" applyFont="1" applyFill="1" applyBorder="1">
      <protection locked="0"/>
    </xf>
    <xf numFmtId="0" fontId="26" fillId="3" borderId="1" xfId="0" applyFont="1" applyFill="1" applyBorder="1">
      <protection locked="0"/>
    </xf>
    <xf numFmtId="0" fontId="0" fillId="3" borderId="1" xfId="0" applyFill="1" applyBorder="1">
      <protection locked="0"/>
    </xf>
    <xf numFmtId="0" fontId="27" fillId="3" borderId="0" xfId="0" applyFont="1" applyFill="1">
      <protection locked="0"/>
    </xf>
    <xf numFmtId="0" fontId="24" fillId="3" borderId="0" xfId="0" applyFont="1" applyFill="1" applyAlignment="1">
      <alignment horizontal="left"/>
      <protection locked="0"/>
    </xf>
    <xf numFmtId="0" fontId="24" fillId="3" borderId="0" xfId="0" applyFont="1" applyFill="1" applyAlignment="1">
      <alignment horizontal="left" vertical="center"/>
      <protection locked="0"/>
    </xf>
    <xf numFmtId="0" fontId="28" fillId="3" borderId="0" xfId="0" applyFont="1" applyFill="1">
      <protection locked="0"/>
    </xf>
    <xf numFmtId="0" fontId="29" fillId="3" borderId="0" xfId="0" applyFont="1" applyFill="1">
      <protection locked="0"/>
    </xf>
    <xf numFmtId="0" fontId="30" fillId="3" borderId="0" xfId="0" applyFont="1" applyFill="1">
      <protection locked="0"/>
    </xf>
    <xf numFmtId="0" fontId="29" fillId="3" borderId="0" xfId="0" applyFont="1" applyFill="1" applyAlignment="1">
      <alignment horizontal="left"/>
      <protection locked="0"/>
    </xf>
    <xf numFmtId="9" fontId="24" fillId="3" borderId="0" xfId="0" applyNumberFormat="1" applyFont="1" applyFill="1">
      <protection locked="0"/>
    </xf>
    <xf numFmtId="2" fontId="24" fillId="3" borderId="0" xfId="0" applyNumberFormat="1" applyFont="1" applyFill="1">
      <protection locked="0"/>
    </xf>
    <xf numFmtId="0" fontId="24" fillId="3" borderId="0" xfId="0" applyFont="1" applyFill="1" applyBorder="1" applyAlignment="1">
      <alignment horizontal="center" vertical="center"/>
      <protection locked="0"/>
    </xf>
    <xf numFmtId="0" fontId="31" fillId="3" borderId="0" xfId="0" applyFont="1" applyFill="1">
      <protection locked="0"/>
    </xf>
    <xf numFmtId="0" fontId="24" fillId="3" borderId="0" xfId="0" applyFont="1" applyFill="1" applyAlignment="1">
      <alignment horizontal="right"/>
      <protection locked="0"/>
    </xf>
    <xf numFmtId="0" fontId="2" fillId="3" borderId="0" xfId="0" applyFont="1" applyFill="1" applyAlignment="1">
      <alignment horizontal="right"/>
      <protection locked="0"/>
    </xf>
    <xf numFmtId="0" fontId="30" fillId="3" borderId="9" xfId="0" applyFont="1" applyFill="1" applyBorder="1">
      <protection locked="0"/>
    </xf>
    <xf numFmtId="0" fontId="30" fillId="3" borderId="12" xfId="0" applyFont="1" applyFill="1" applyBorder="1">
      <protection locked="0"/>
    </xf>
    <xf numFmtId="0" fontId="29" fillId="3" borderId="7" xfId="0" applyFont="1" applyFill="1" applyBorder="1">
      <protection locked="0"/>
    </xf>
    <xf numFmtId="0" fontId="29" fillId="3" borderId="0" xfId="0" applyFont="1" applyFill="1" applyBorder="1">
      <protection locked="0"/>
    </xf>
    <xf numFmtId="0" fontId="29" fillId="3" borderId="8" xfId="0" applyFont="1" applyFill="1" applyBorder="1">
      <protection locked="0"/>
    </xf>
    <xf numFmtId="0" fontId="29" fillId="3" borderId="10" xfId="0" applyFont="1" applyFill="1" applyBorder="1">
      <protection locked="0"/>
    </xf>
    <xf numFmtId="0" fontId="29" fillId="3" borderId="11" xfId="0" applyFont="1" applyFill="1" applyBorder="1">
      <protection locked="0"/>
    </xf>
    <xf numFmtId="0" fontId="29" fillId="3" borderId="2" xfId="0" applyFont="1" applyFill="1" applyBorder="1">
      <protection locked="0"/>
    </xf>
    <xf numFmtId="0" fontId="29" fillId="3" borderId="1" xfId="0" applyFont="1" applyFill="1" applyBorder="1">
      <protection locked="0"/>
    </xf>
    <xf numFmtId="0" fontId="29" fillId="3" borderId="4" xfId="0" applyFont="1" applyFill="1" applyBorder="1">
      <protection locked="0"/>
    </xf>
    <xf numFmtId="0" fontId="30" fillId="3" borderId="13" xfId="0" applyFont="1" applyFill="1" applyBorder="1">
      <protection locked="0"/>
    </xf>
    <xf numFmtId="164" fontId="24" fillId="3" borderId="0" xfId="0" applyNumberFormat="1" applyFont="1" applyFill="1">
      <protection locked="0"/>
    </xf>
    <xf numFmtId="0" fontId="32" fillId="3" borderId="0" xfId="0" applyFont="1" applyFill="1">
      <protection locked="0"/>
    </xf>
    <xf numFmtId="0" fontId="0" fillId="3" borderId="0" xfId="0" applyFill="1" applyBorder="1" applyAlignment="1">
      <alignment horizontal="center"/>
      <protection locked="0"/>
    </xf>
    <xf numFmtId="0" fontId="0" fillId="3" borderId="0" xfId="0" applyFill="1" applyBorder="1">
      <protection locked="0"/>
    </xf>
    <xf numFmtId="0" fontId="0" fillId="3" borderId="1" xfId="0" applyFill="1" applyBorder="1" applyAlignment="1">
      <alignment horizontal="center"/>
      <protection locked="0"/>
    </xf>
    <xf numFmtId="0" fontId="0" fillId="3" borderId="10" xfId="0" applyFill="1" applyBorder="1" applyAlignment="1">
      <alignment horizontal="center"/>
      <protection locked="0"/>
    </xf>
    <xf numFmtId="9" fontId="38" fillId="3" borderId="0" xfId="0" applyNumberFormat="1" applyFont="1" applyFill="1" applyAlignment="1">
      <alignment horizontal="center" vertical="center"/>
      <protection locked="0"/>
    </xf>
    <xf numFmtId="9" fontId="10" fillId="3" borderId="0" xfId="0" applyNumberFormat="1" applyFont="1" applyFill="1" applyAlignment="1">
      <alignment horizontal="left" vertical="center"/>
      <protection locked="0"/>
    </xf>
    <xf numFmtId="9" fontId="39" fillId="3" borderId="0" xfId="0" applyNumberFormat="1" applyFont="1" applyFill="1" applyAlignment="1">
      <alignment horizontal="left" vertical="center" wrapText="1"/>
      <protection locked="0"/>
    </xf>
    <xf numFmtId="9" fontId="12" fillId="3" borderId="0" xfId="0" applyNumberFormat="1" applyFont="1" applyFill="1" applyAlignment="1">
      <alignment horizontal="center" vertical="center"/>
      <protection locked="0"/>
    </xf>
    <xf numFmtId="0" fontId="4" fillId="7" borderId="0" xfId="0" applyFont="1" applyFill="1" applyAlignment="1">
      <alignment horizontal="left" wrapText="1"/>
      <protection locked="0"/>
    </xf>
    <xf numFmtId="0" fontId="0" fillId="7" borderId="0" xfId="0" applyFill="1" applyAlignment="1">
      <alignment horizontal="center"/>
      <protection locked="0"/>
    </xf>
    <xf numFmtId="0" fontId="0" fillId="3" borderId="0" xfId="0" applyFill="1" applyAlignment="1">
      <alignment horizontal="center"/>
      <protection locked="0"/>
    </xf>
    <xf numFmtId="0" fontId="2" fillId="0" borderId="12" xfId="0" applyFont="1" applyBorder="1">
      <protection locked="0"/>
    </xf>
    <xf numFmtId="0" fontId="24" fillId="0" borderId="12" xfId="0" applyFont="1" applyBorder="1">
      <protection locked="0"/>
    </xf>
    <xf numFmtId="0" fontId="24" fillId="10" borderId="0" xfId="0" applyFont="1" applyFill="1">
      <protection locked="0"/>
    </xf>
    <xf numFmtId="0" fontId="24" fillId="10" borderId="12" xfId="0" applyFont="1" applyFill="1" applyBorder="1">
      <protection locked="0"/>
    </xf>
    <xf numFmtId="0" fontId="24" fillId="0" borderId="0" xfId="0" applyFont="1" applyFill="1">
      <protection locked="0"/>
    </xf>
    <xf numFmtId="0" fontId="24" fillId="0" borderId="12" xfId="0" applyFont="1" applyFill="1" applyBorder="1">
      <protection locked="0"/>
    </xf>
    <xf numFmtId="0" fontId="40" fillId="3" borderId="0" xfId="0" applyFont="1" applyFill="1">
      <protection locked="0"/>
    </xf>
    <xf numFmtId="0" fontId="24" fillId="3" borderId="0" xfId="0" quotePrefix="1" applyFont="1" applyFill="1">
      <protection locked="0"/>
    </xf>
    <xf numFmtId="0" fontId="0" fillId="0" borderId="6" xfId="0" applyBorder="1">
      <protection locked="0"/>
    </xf>
    <xf numFmtId="0" fontId="0" fillId="0" borderId="0" xfId="0" applyBorder="1">
      <protection locked="0"/>
    </xf>
    <xf numFmtId="0" fontId="3" fillId="3" borderId="0" xfId="0" applyFont="1" applyFill="1" applyBorder="1" applyAlignment="1">
      <alignment horizontal="left" vertical="top" wrapText="1"/>
      <protection locked="0"/>
    </xf>
    <xf numFmtId="0" fontId="25" fillId="3" borderId="1" xfId="0" applyFont="1" applyFill="1" applyBorder="1" applyAlignment="1">
      <alignment vertical="center"/>
      <protection locked="0"/>
    </xf>
    <xf numFmtId="0" fontId="25" fillId="3" borderId="0" xfId="0" applyFont="1" applyFill="1" applyBorder="1" applyAlignment="1">
      <alignment vertical="center"/>
      <protection locked="0"/>
    </xf>
    <xf numFmtId="0" fontId="59" fillId="0" borderId="0" xfId="0" applyFont="1">
      <protection locked="0"/>
    </xf>
    <xf numFmtId="0" fontId="61" fillId="7" borderId="0" xfId="0" applyFont="1" applyFill="1" applyAlignment="1">
      <protection locked="0"/>
    </xf>
    <xf numFmtId="0" fontId="51" fillId="7" borderId="0" xfId="0" applyFont="1" applyFill="1" applyAlignment="1">
      <protection locked="0"/>
    </xf>
    <xf numFmtId="0" fontId="65" fillId="3" borderId="1" xfId="0" applyFont="1" applyFill="1" applyBorder="1" applyAlignment="1" applyProtection="1">
      <alignment horizontal="center" vertical="top"/>
      <protection locked="0"/>
    </xf>
    <xf numFmtId="0" fontId="65" fillId="3" borderId="14" xfId="0" applyFont="1" applyFill="1" applyBorder="1" applyAlignment="1" applyProtection="1">
      <alignment horizontal="center" vertical="top"/>
      <protection locked="0"/>
    </xf>
    <xf numFmtId="0" fontId="13" fillId="3" borderId="0" xfId="0" applyFont="1" applyFill="1" applyProtection="1"/>
    <xf numFmtId="0" fontId="13" fillId="3" borderId="0" xfId="0" applyFont="1" applyFill="1" applyAlignment="1" applyProtection="1">
      <alignment horizontal="center" vertical="top"/>
    </xf>
    <xf numFmtId="0" fontId="13" fillId="4" borderId="0" xfId="0" applyFont="1" applyFill="1" applyProtection="1"/>
    <xf numFmtId="0" fontId="13" fillId="2" borderId="0" xfId="0" applyFont="1" applyFill="1" applyProtection="1"/>
    <xf numFmtId="0" fontId="14" fillId="3" borderId="0" xfId="0" applyFont="1" applyFill="1" applyAlignment="1" applyProtection="1">
      <alignment horizontal="left"/>
    </xf>
    <xf numFmtId="0" fontId="41" fillId="3" borderId="0" xfId="0" applyFont="1" applyFill="1" applyAlignment="1" applyProtection="1">
      <alignment horizontal="left"/>
    </xf>
    <xf numFmtId="0" fontId="19" fillId="3" borderId="0" xfId="0" applyFont="1" applyFill="1" applyAlignment="1" applyProtection="1">
      <alignment vertical="top"/>
    </xf>
    <xf numFmtId="0" fontId="58" fillId="3" borderId="0" xfId="0" applyFont="1" applyFill="1" applyAlignment="1" applyProtection="1">
      <alignment vertical="center" wrapText="1"/>
    </xf>
    <xf numFmtId="0" fontId="5" fillId="3" borderId="0" xfId="0" applyFont="1" applyFill="1" applyAlignment="1" applyProtection="1">
      <alignment horizontal="left"/>
    </xf>
    <xf numFmtId="0" fontId="66" fillId="3" borderId="0" xfId="0" applyFont="1" applyFill="1" applyAlignment="1" applyProtection="1">
      <alignment horizontal="center"/>
    </xf>
    <xf numFmtId="0" fontId="66" fillId="3" borderId="0" xfId="0" applyFont="1" applyFill="1" applyAlignment="1" applyProtection="1">
      <alignment horizontal="center" wrapText="1"/>
    </xf>
    <xf numFmtId="0" fontId="58" fillId="3" borderId="0" xfId="0" applyFont="1" applyFill="1" applyAlignment="1" applyProtection="1">
      <alignment horizontal="left" vertical="center" indent="1"/>
    </xf>
    <xf numFmtId="0" fontId="20" fillId="3" borderId="0" xfId="0" applyFont="1" applyFill="1" applyAlignment="1" applyProtection="1">
      <alignment horizontal="left"/>
    </xf>
    <xf numFmtId="0" fontId="21" fillId="3" borderId="0" xfId="0" applyFont="1" applyFill="1" applyProtection="1"/>
    <xf numFmtId="0" fontId="18" fillId="3" borderId="0" xfId="0" applyFont="1" applyFill="1" applyProtection="1"/>
    <xf numFmtId="0" fontId="64" fillId="3" borderId="0" xfId="0" applyFont="1" applyFill="1" applyAlignment="1" applyProtection="1">
      <alignment horizontal="center" vertical="top"/>
    </xf>
    <xf numFmtId="0" fontId="64" fillId="3" borderId="0" xfId="0" applyFont="1" applyFill="1" applyAlignment="1" applyProtection="1">
      <alignment vertical="center" wrapText="1"/>
    </xf>
    <xf numFmtId="0" fontId="42" fillId="3" borderId="0" xfId="0" applyFont="1" applyFill="1" applyAlignment="1" applyProtection="1">
      <alignment horizontal="left"/>
    </xf>
    <xf numFmtId="0" fontId="23" fillId="3" borderId="1" xfId="0" applyFont="1" applyFill="1" applyBorder="1" applyAlignment="1" applyProtection="1">
      <alignment horizontal="center"/>
    </xf>
    <xf numFmtId="0" fontId="23" fillId="3" borderId="0" xfId="0" applyFont="1" applyFill="1" applyBorder="1" applyAlignment="1" applyProtection="1">
      <alignment horizontal="center"/>
    </xf>
    <xf numFmtId="0" fontId="22" fillId="3" borderId="0" xfId="0" applyFont="1" applyFill="1" applyAlignment="1" applyProtection="1">
      <alignment horizontal="right"/>
    </xf>
    <xf numFmtId="0" fontId="65" fillId="3" borderId="0" xfId="0" applyFont="1" applyFill="1" applyBorder="1" applyAlignment="1" applyProtection="1">
      <alignment horizontal="center" vertical="top"/>
    </xf>
    <xf numFmtId="0" fontId="23" fillId="3" borderId="0" xfId="0" applyFont="1" applyFill="1" applyAlignment="1" applyProtection="1">
      <alignment horizontal="center"/>
    </xf>
    <xf numFmtId="0" fontId="3" fillId="3" borderId="0" xfId="0" applyFont="1" applyFill="1" applyAlignment="1" applyProtection="1">
      <alignment horizontal="left"/>
    </xf>
    <xf numFmtId="0" fontId="5" fillId="3" borderId="0" xfId="0" applyFont="1" applyFill="1" applyAlignment="1" applyProtection="1">
      <alignment horizontal="right"/>
    </xf>
    <xf numFmtId="0" fontId="6" fillId="3" borderId="0" xfId="0" applyFont="1" applyFill="1" applyBorder="1" applyAlignment="1" applyProtection="1">
      <alignment horizontal="center"/>
    </xf>
    <xf numFmtId="0" fontId="4" fillId="6" borderId="0" xfId="0" applyFont="1" applyFill="1" applyAlignment="1" applyProtection="1">
      <alignment horizontal="left" vertical="center" indent="1"/>
    </xf>
    <xf numFmtId="0" fontId="15" fillId="3" borderId="0" xfId="0" applyFont="1" applyFill="1" applyProtection="1"/>
    <xf numFmtId="0" fontId="16" fillId="3" borderId="0" xfId="0" applyFont="1" applyFill="1" applyAlignment="1" applyProtection="1">
      <alignment horizontal="center"/>
    </xf>
    <xf numFmtId="0" fontId="23" fillId="3" borderId="1" xfId="0" applyFont="1" applyFill="1" applyBorder="1" applyAlignment="1" applyProtection="1">
      <alignment horizontal="center" vertical="center"/>
    </xf>
    <xf numFmtId="0" fontId="42" fillId="3" borderId="0" xfId="0" applyFont="1" applyFill="1" applyProtection="1"/>
    <xf numFmtId="0" fontId="13" fillId="7" borderId="0" xfId="0" applyFont="1" applyFill="1" applyProtection="1"/>
    <xf numFmtId="0" fontId="15" fillId="7" borderId="0" xfId="0" applyFont="1" applyFill="1" applyProtection="1"/>
    <xf numFmtId="0" fontId="48" fillId="7" borderId="0" xfId="0" applyFont="1" applyFill="1" applyAlignment="1" applyProtection="1">
      <alignment horizontal="left" vertical="center"/>
    </xf>
    <xf numFmtId="0" fontId="20" fillId="7" borderId="0" xfId="0" applyFont="1" applyFill="1" applyAlignment="1" applyProtection="1">
      <alignment horizontal="left" wrapText="1"/>
    </xf>
    <xf numFmtId="0" fontId="20" fillId="7" borderId="0" xfId="0" applyFont="1" applyFill="1" applyBorder="1" applyAlignment="1" applyProtection="1">
      <alignment horizontal="left" wrapText="1"/>
    </xf>
    <xf numFmtId="0" fontId="13" fillId="7" borderId="0" xfId="0" applyFont="1" applyFill="1" applyAlignment="1" applyProtection="1">
      <alignment vertical="center"/>
    </xf>
    <xf numFmtId="0" fontId="47" fillId="7" borderId="0" xfId="0" applyFont="1" applyFill="1" applyBorder="1" applyAlignment="1" applyProtection="1">
      <alignment horizontal="center"/>
    </xf>
    <xf numFmtId="0" fontId="54" fillId="3" borderId="3" xfId="0" applyFont="1" applyFill="1" applyBorder="1" applyAlignment="1" applyProtection="1">
      <alignment horizontal="left" indent="1"/>
    </xf>
    <xf numFmtId="0" fontId="54" fillId="3" borderId="5" xfId="0" applyFont="1" applyFill="1" applyBorder="1" applyAlignment="1" applyProtection="1">
      <alignment horizontal="left" indent="1"/>
    </xf>
    <xf numFmtId="0" fontId="36" fillId="7" borderId="0" xfId="0" applyFont="1" applyFill="1" applyAlignment="1" applyProtection="1">
      <alignment horizontal="left" wrapText="1"/>
    </xf>
    <xf numFmtId="0" fontId="13" fillId="7" borderId="0" xfId="0" applyFont="1" applyFill="1" applyAlignment="1" applyProtection="1"/>
    <xf numFmtId="9" fontId="6" fillId="3" borderId="0" xfId="0" applyNumberFormat="1" applyFont="1" applyFill="1" applyAlignment="1" applyProtection="1">
      <alignment horizontal="center" vertical="center"/>
    </xf>
    <xf numFmtId="0" fontId="35" fillId="7" borderId="0" xfId="0" applyFont="1" applyFill="1" applyAlignment="1" applyProtection="1">
      <alignment horizontal="right" vertical="center" textRotation="90"/>
    </xf>
    <xf numFmtId="0" fontId="6" fillId="3" borderId="0" xfId="0" applyFont="1" applyFill="1" applyAlignment="1" applyProtection="1"/>
    <xf numFmtId="0" fontId="55" fillId="7" borderId="0" xfId="0" applyFont="1" applyFill="1" applyAlignment="1" applyProtection="1">
      <alignment vertical="center"/>
    </xf>
    <xf numFmtId="0" fontId="56" fillId="7" borderId="0" xfId="0" applyFont="1" applyFill="1" applyBorder="1" applyAlignment="1" applyProtection="1">
      <alignment horizontal="center"/>
    </xf>
    <xf numFmtId="0" fontId="57" fillId="3" borderId="3" xfId="0" applyFont="1" applyFill="1" applyBorder="1" applyAlignment="1" applyProtection="1">
      <alignment horizontal="left" indent="1"/>
    </xf>
    <xf numFmtId="0" fontId="57" fillId="3" borderId="5" xfId="0" applyFont="1" applyFill="1" applyBorder="1" applyAlignment="1" applyProtection="1">
      <alignment horizontal="left" indent="1"/>
    </xf>
    <xf numFmtId="0" fontId="13" fillId="8" borderId="0" xfId="0" applyFont="1" applyFill="1" applyProtection="1"/>
    <xf numFmtId="0" fontId="13" fillId="8" borderId="0" xfId="0" applyFont="1" applyFill="1" applyAlignment="1" applyProtection="1">
      <alignment horizontal="center" vertical="top"/>
    </xf>
    <xf numFmtId="0" fontId="13" fillId="9" borderId="0" xfId="0" applyFont="1" applyFill="1" applyProtection="1"/>
    <xf numFmtId="0" fontId="13" fillId="5" borderId="0" xfId="0" applyFont="1" applyFill="1" applyProtection="1"/>
    <xf numFmtId="0" fontId="34" fillId="7" borderId="0" xfId="0" applyFont="1" applyFill="1" applyAlignment="1" applyProtection="1">
      <alignment horizontal="center"/>
    </xf>
    <xf numFmtId="0" fontId="13" fillId="7" borderId="0" xfId="0" applyFont="1" applyFill="1" applyAlignment="1" applyProtection="1">
      <alignment horizontal="center"/>
    </xf>
    <xf numFmtId="0" fontId="33" fillId="7" borderId="0" xfId="0" applyFont="1" applyFill="1" applyAlignment="1" applyProtection="1">
      <alignment horizontal="center" vertical="center"/>
    </xf>
    <xf numFmtId="165" fontId="0" fillId="0" borderId="0" xfId="0" applyNumberFormat="1">
      <protection locked="0"/>
    </xf>
    <xf numFmtId="0" fontId="67" fillId="3" borderId="0" xfId="0" applyFont="1" applyFill="1" applyAlignment="1" applyProtection="1">
      <alignment horizontal="center" vertical="top"/>
    </xf>
    <xf numFmtId="166" fontId="0" fillId="0" borderId="0" xfId="0" applyNumberFormat="1">
      <protection locked="0"/>
    </xf>
    <xf numFmtId="9" fontId="39" fillId="3" borderId="0" xfId="0" applyNumberFormat="1" applyFont="1" applyFill="1" applyBorder="1" applyAlignment="1">
      <alignment horizontal="left" vertical="center" wrapText="1"/>
      <protection locked="0"/>
    </xf>
    <xf numFmtId="0" fontId="4" fillId="3" borderId="0" xfId="0" applyFont="1" applyFill="1" applyBorder="1" applyAlignment="1">
      <alignment horizontal="left" wrapText="1"/>
      <protection locked="0"/>
    </xf>
    <xf numFmtId="0" fontId="51" fillId="3" borderId="0" xfId="0" applyFont="1" applyFill="1" applyBorder="1" applyAlignment="1">
      <protection locked="0"/>
    </xf>
    <xf numFmtId="0" fontId="61" fillId="3" borderId="0" xfId="0" applyFont="1" applyFill="1" applyBorder="1" applyAlignment="1">
      <protection locked="0"/>
    </xf>
    <xf numFmtId="9" fontId="50" fillId="3" borderId="0" xfId="0" applyNumberFormat="1" applyFont="1" applyFill="1" applyBorder="1" applyAlignment="1">
      <alignment vertical="center" wrapText="1"/>
      <protection locked="0"/>
    </xf>
    <xf numFmtId="9" fontId="38" fillId="3" borderId="0" xfId="0" applyNumberFormat="1" applyFont="1" applyFill="1" applyBorder="1" applyAlignment="1">
      <alignment horizontal="left" vertical="center" indent="5"/>
      <protection locked="0"/>
    </xf>
    <xf numFmtId="9" fontId="12" fillId="3" borderId="0" xfId="0" applyNumberFormat="1" applyFont="1" applyFill="1" applyBorder="1" applyAlignment="1">
      <alignment horizontal="left" vertical="center" indent="6"/>
      <protection locked="0"/>
    </xf>
    <xf numFmtId="9" fontId="12" fillId="3" borderId="0" xfId="0" applyNumberFormat="1" applyFont="1" applyFill="1" applyBorder="1" applyAlignment="1">
      <alignment horizontal="left" vertical="center" indent="5"/>
      <protection locked="0"/>
    </xf>
    <xf numFmtId="9" fontId="50" fillId="3" borderId="0" xfId="0" applyNumberFormat="1" applyFont="1" applyFill="1" applyBorder="1" applyAlignment="1">
      <alignment horizontal="left" vertical="center" wrapText="1"/>
      <protection locked="0"/>
    </xf>
    <xf numFmtId="0" fontId="63" fillId="3" borderId="0" xfId="0" applyFont="1" applyFill="1" applyBorder="1" applyAlignment="1">
      <alignment horizontal="left" vertical="center"/>
      <protection locked="0"/>
    </xf>
    <xf numFmtId="0" fontId="20" fillId="3" borderId="0" xfId="0" applyFont="1" applyFill="1" applyBorder="1" applyAlignment="1">
      <alignment horizontal="left" vertical="top" wrapText="1"/>
      <protection locked="0"/>
    </xf>
    <xf numFmtId="0" fontId="41" fillId="3" borderId="0" xfId="0" applyFont="1" applyFill="1" applyBorder="1" applyAlignment="1">
      <alignment horizontal="center"/>
      <protection locked="0"/>
    </xf>
    <xf numFmtId="0" fontId="62" fillId="3" borderId="0" xfId="0" applyFont="1" applyFill="1" applyBorder="1" applyAlignment="1">
      <alignment horizontal="center" vertical="center"/>
      <protection locked="0"/>
    </xf>
    <xf numFmtId="0" fontId="3" fillId="3" borderId="15" xfId="0" applyFont="1" applyFill="1" applyBorder="1" applyAlignment="1">
      <alignment horizontal="left" vertical="top" wrapText="1"/>
      <protection locked="0"/>
    </xf>
    <xf numFmtId="0" fontId="0" fillId="3" borderId="15" xfId="0" applyFill="1" applyBorder="1" applyAlignment="1">
      <alignment horizontal="center"/>
      <protection locked="0"/>
    </xf>
    <xf numFmtId="9" fontId="38" fillId="3" borderId="15" xfId="0" applyNumberFormat="1" applyFont="1" applyFill="1" applyBorder="1" applyAlignment="1">
      <alignment horizontal="left" vertical="center" indent="5"/>
      <protection locked="0"/>
    </xf>
    <xf numFmtId="9" fontId="12" fillId="3" borderId="15" xfId="0" applyNumberFormat="1" applyFont="1" applyFill="1" applyBorder="1" applyAlignment="1">
      <alignment horizontal="left" vertical="center" indent="6"/>
      <protection locked="0"/>
    </xf>
    <xf numFmtId="9" fontId="12" fillId="3" borderId="15" xfId="0" applyNumberFormat="1" applyFont="1" applyFill="1" applyBorder="1" applyAlignment="1">
      <alignment horizontal="left" vertical="center" indent="5"/>
      <protection locked="0"/>
    </xf>
    <xf numFmtId="0" fontId="0" fillId="3" borderId="16" xfId="0" applyFill="1" applyBorder="1" applyAlignment="1">
      <alignment horizontal="center"/>
      <protection locked="0"/>
    </xf>
    <xf numFmtId="0" fontId="0" fillId="3" borderId="16" xfId="0" applyFill="1" applyBorder="1">
      <protection locked="0"/>
    </xf>
    <xf numFmtId="0" fontId="0" fillId="3" borderId="17" xfId="0" applyFill="1" applyBorder="1" applyAlignment="1">
      <alignment horizontal="center"/>
      <protection locked="0"/>
    </xf>
    <xf numFmtId="0" fontId="0" fillId="3" borderId="18" xfId="0" applyFill="1" applyBorder="1" applyAlignment="1">
      <alignment horizontal="center"/>
      <protection locked="0"/>
    </xf>
    <xf numFmtId="0" fontId="0" fillId="3" borderId="19" xfId="0" applyFill="1" applyBorder="1">
      <protection locked="0"/>
    </xf>
    <xf numFmtId="0" fontId="0" fillId="3" borderId="20" xfId="0" applyFill="1" applyBorder="1">
      <protection locked="0"/>
    </xf>
    <xf numFmtId="0" fontId="69" fillId="3" borderId="0" xfId="0" applyFont="1" applyFill="1" applyAlignment="1">
      <alignment vertical="center"/>
      <protection locked="0"/>
    </xf>
    <xf numFmtId="0" fontId="70" fillId="3" borderId="0" xfId="0" applyFont="1" applyFill="1">
      <protection locked="0"/>
    </xf>
    <xf numFmtId="0" fontId="69" fillId="3" borderId="0" xfId="0" applyFont="1" applyFill="1">
      <protection locked="0"/>
    </xf>
    <xf numFmtId="0" fontId="69" fillId="3" borderId="0" xfId="0" applyFont="1" applyFill="1" applyBorder="1" applyAlignment="1">
      <alignment vertical="center"/>
      <protection locked="0"/>
    </xf>
    <xf numFmtId="0" fontId="71" fillId="3" borderId="0" xfId="0" applyFont="1" applyFill="1" applyBorder="1" applyAlignment="1">
      <alignment horizontal="left" vertical="top" wrapText="1"/>
      <protection locked="0"/>
    </xf>
    <xf numFmtId="0" fontId="69" fillId="3" borderId="0" xfId="0" applyFont="1" applyFill="1" applyBorder="1">
      <protection locked="0"/>
    </xf>
    <xf numFmtId="0" fontId="72" fillId="3" borderId="0" xfId="0" applyFont="1" applyFill="1" applyBorder="1" applyAlignment="1">
      <alignment horizontal="center"/>
      <protection locked="0"/>
    </xf>
    <xf numFmtId="9" fontId="69" fillId="3" borderId="0" xfId="0" applyNumberFormat="1" applyFont="1" applyFill="1" applyBorder="1" applyAlignment="1">
      <alignment horizontal="left" vertical="center"/>
      <protection locked="0"/>
    </xf>
    <xf numFmtId="9" fontId="73" fillId="3" borderId="0" xfId="0" applyNumberFormat="1" applyFont="1" applyFill="1" applyBorder="1" applyAlignment="1">
      <alignment vertical="center" wrapText="1"/>
      <protection locked="0"/>
    </xf>
    <xf numFmtId="9" fontId="73" fillId="3" borderId="0" xfId="0" applyNumberFormat="1" applyFont="1" applyFill="1" applyBorder="1" applyAlignment="1">
      <alignment horizontal="left" vertical="center" wrapText="1"/>
      <protection locked="0"/>
    </xf>
    <xf numFmtId="0" fontId="72" fillId="3" borderId="0" xfId="0" applyFont="1" applyFill="1" applyBorder="1">
      <protection locked="0"/>
    </xf>
    <xf numFmtId="0" fontId="74" fillId="3" borderId="0" xfId="0" applyFont="1" applyFill="1" applyBorder="1" applyAlignment="1">
      <alignment horizontal="left" vertical="center"/>
      <protection locked="0"/>
    </xf>
    <xf numFmtId="0" fontId="4" fillId="3" borderId="0" xfId="0" applyFont="1" applyFill="1" applyBorder="1" applyAlignment="1">
      <alignment horizontal="center"/>
      <protection locked="0"/>
    </xf>
    <xf numFmtId="0" fontId="4" fillId="3" borderId="0" xfId="0" applyFont="1" applyFill="1" applyBorder="1" applyAlignment="1">
      <alignment horizontal="center" vertical="center"/>
      <protection locked="0"/>
    </xf>
    <xf numFmtId="0" fontId="72" fillId="3" borderId="0" xfId="0" applyFont="1" applyFill="1" applyAlignment="1">
      <alignment horizontal="center"/>
      <protection locked="0"/>
    </xf>
    <xf numFmtId="0" fontId="70" fillId="3" borderId="0" xfId="0" applyFont="1" applyFill="1" applyAlignment="1">
      <alignment horizontal="center"/>
      <protection locked="0"/>
    </xf>
    <xf numFmtId="0" fontId="70" fillId="3" borderId="0" xfId="0" applyFont="1" applyFill="1" applyBorder="1">
      <protection locked="0"/>
    </xf>
    <xf numFmtId="0" fontId="68" fillId="3" borderId="0" xfId="0" applyFont="1" applyFill="1" applyBorder="1" applyAlignment="1">
      <alignment horizontal="center"/>
      <protection locked="0"/>
    </xf>
    <xf numFmtId="0" fontId="0" fillId="8" borderId="0" xfId="0" applyFill="1" applyAlignment="1">
      <alignment horizontal="center"/>
      <protection locked="0"/>
    </xf>
    <xf numFmtId="0" fontId="0" fillId="8" borderId="0" xfId="0" applyFill="1" applyBorder="1" applyAlignment="1">
      <alignment horizontal="center"/>
      <protection locked="0"/>
    </xf>
    <xf numFmtId="0" fontId="68" fillId="8" borderId="0" xfId="0" applyFont="1" applyFill="1" applyBorder="1" applyAlignment="1">
      <alignment horizontal="center"/>
      <protection locked="0"/>
    </xf>
    <xf numFmtId="0" fontId="0" fillId="8" borderId="0" xfId="0" applyFill="1" applyBorder="1">
      <protection locked="0"/>
    </xf>
    <xf numFmtId="0" fontId="0" fillId="8" borderId="0" xfId="0" applyFill="1">
      <protection locked="0"/>
    </xf>
    <xf numFmtId="0" fontId="13" fillId="11" borderId="0" xfId="0" applyFont="1" applyFill="1" applyAlignment="1" applyProtection="1">
      <alignment horizontal="center"/>
    </xf>
    <xf numFmtId="0" fontId="37" fillId="7" borderId="0" xfId="0" applyFont="1" applyFill="1" applyAlignment="1" applyProtection="1">
      <alignment horizontal="right" textRotation="90"/>
    </xf>
    <xf numFmtId="0" fontId="51" fillId="7" borderId="0" xfId="0" applyFont="1" applyFill="1" applyAlignment="1" applyProtection="1">
      <alignment vertical="center"/>
    </xf>
    <xf numFmtId="9" fontId="11" fillId="3" borderId="0" xfId="0" applyNumberFormat="1" applyFont="1" applyFill="1" applyAlignment="1" applyProtection="1">
      <alignment horizontal="left" vertical="center" indent="2"/>
    </xf>
    <xf numFmtId="0" fontId="17" fillId="3" borderId="1" xfId="0" applyFont="1" applyFill="1" applyBorder="1" applyAlignment="1" applyProtection="1">
      <alignment horizontal="left" vertical="top" indent="1"/>
      <protection locked="0"/>
    </xf>
    <xf numFmtId="0" fontId="41" fillId="6" borderId="0" xfId="0" applyFont="1" applyFill="1" applyAlignment="1" applyProtection="1">
      <alignment horizontal="left" vertical="center"/>
    </xf>
    <xf numFmtId="0" fontId="23" fillId="3" borderId="1" xfId="0" applyFont="1" applyFill="1" applyBorder="1" applyAlignment="1" applyProtection="1">
      <alignment horizontal="center" vertical="top"/>
      <protection locked="0"/>
    </xf>
    <xf numFmtId="0" fontId="17" fillId="3" borderId="1" xfId="0" applyFont="1" applyFill="1" applyBorder="1" applyAlignment="1" applyProtection="1">
      <alignment horizontal="center" vertical="top"/>
      <protection locked="0"/>
    </xf>
    <xf numFmtId="0" fontId="46" fillId="7" borderId="0" xfId="0" applyFont="1" applyFill="1" applyAlignment="1" applyProtection="1">
      <alignment horizontal="left" vertical="top"/>
    </xf>
    <xf numFmtId="0" fontId="44" fillId="7" borderId="0" xfId="0" applyFont="1" applyFill="1" applyAlignment="1" applyProtection="1">
      <alignment horizontal="center" vertical="center"/>
    </xf>
    <xf numFmtId="0" fontId="6" fillId="3" borderId="1" xfId="0" applyFont="1" applyFill="1" applyBorder="1" applyAlignment="1" applyProtection="1">
      <alignment horizontal="center"/>
    </xf>
    <xf numFmtId="0" fontId="6" fillId="3" borderId="4" xfId="0" applyFont="1" applyFill="1" applyBorder="1" applyAlignment="1" applyProtection="1">
      <alignment horizontal="center"/>
    </xf>
    <xf numFmtId="0" fontId="6" fillId="3" borderId="3"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43" fillId="7" borderId="0" xfId="0" applyFont="1" applyFill="1" applyAlignment="1" applyProtection="1">
      <alignment horizontal="center" vertical="center"/>
    </xf>
    <xf numFmtId="0" fontId="41" fillId="3" borderId="1" xfId="0" applyFont="1" applyFill="1" applyBorder="1" applyAlignment="1" applyProtection="1">
      <alignment horizontal="center"/>
    </xf>
    <xf numFmtId="0" fontId="41" fillId="3" borderId="4" xfId="0" applyFont="1" applyFill="1" applyBorder="1" applyAlignment="1" applyProtection="1">
      <alignment horizontal="center"/>
    </xf>
    <xf numFmtId="0" fontId="41" fillId="3" borderId="3" xfId="0" applyFont="1" applyFill="1" applyBorder="1" applyAlignment="1" applyProtection="1">
      <alignment horizontal="center" vertical="center"/>
    </xf>
    <xf numFmtId="0" fontId="41" fillId="3" borderId="5" xfId="0" applyFont="1" applyFill="1" applyBorder="1" applyAlignment="1" applyProtection="1">
      <alignment horizontal="center" vertical="center"/>
    </xf>
    <xf numFmtId="0" fontId="3" fillId="3" borderId="0" xfId="0" applyFont="1" applyFill="1" applyAlignment="1" applyProtection="1">
      <alignment horizontal="left" vertical="top" wrapText="1"/>
    </xf>
    <xf numFmtId="0" fontId="23" fillId="6" borderId="0" xfId="0" applyFont="1" applyFill="1" applyBorder="1" applyAlignment="1" applyProtection="1">
      <alignment horizontal="left" vertical="center" wrapText="1" indent="1"/>
    </xf>
    <xf numFmtId="0" fontId="23" fillId="6" borderId="2" xfId="0" applyFont="1" applyFill="1" applyBorder="1" applyAlignment="1" applyProtection="1">
      <alignment horizontal="left" vertical="center" wrapText="1" indent="1"/>
    </xf>
    <xf numFmtId="0" fontId="23" fillId="6" borderId="1" xfId="0" applyFont="1" applyFill="1" applyBorder="1" applyAlignment="1" applyProtection="1">
      <alignment horizontal="left" vertical="center" wrapText="1" indent="1"/>
    </xf>
    <xf numFmtId="0" fontId="23" fillId="6" borderId="4" xfId="0" applyFont="1" applyFill="1" applyBorder="1" applyAlignment="1" applyProtection="1">
      <alignment horizontal="left" vertical="center" wrapText="1" indent="1"/>
    </xf>
    <xf numFmtId="0" fontId="8" fillId="12" borderId="0" xfId="1" applyFont="1" applyFill="1" applyBorder="1" applyAlignment="1" applyProtection="1">
      <alignment horizontal="center" vertical="center" wrapText="1"/>
    </xf>
    <xf numFmtId="0" fontId="9" fillId="12" borderId="2" xfId="1" applyFont="1" applyFill="1" applyBorder="1" applyAlignment="1" applyProtection="1">
      <alignment horizontal="center" vertical="center" wrapText="1"/>
    </xf>
    <xf numFmtId="0" fontId="9" fillId="12" borderId="0" xfId="1" applyFont="1" applyFill="1" applyBorder="1" applyAlignment="1" applyProtection="1">
      <alignment horizontal="center" vertical="center" wrapText="1"/>
    </xf>
    <xf numFmtId="0" fontId="9" fillId="12" borderId="1" xfId="1" applyFont="1" applyFill="1" applyBorder="1" applyAlignment="1" applyProtection="1">
      <alignment horizontal="center" vertical="center" wrapText="1"/>
    </xf>
    <xf numFmtId="0" fontId="9" fillId="12" borderId="4" xfId="1" applyFont="1" applyFill="1" applyBorder="1" applyAlignment="1" applyProtection="1">
      <alignment horizontal="center" vertical="center" wrapText="1"/>
    </xf>
    <xf numFmtId="0" fontId="45" fillId="3" borderId="0" xfId="0" applyFont="1" applyFill="1" applyAlignment="1" applyProtection="1">
      <alignment horizontal="left" vertical="top" wrapText="1"/>
    </xf>
    <xf numFmtId="0" fontId="52" fillId="7" borderId="0" xfId="0" applyFont="1" applyFill="1" applyBorder="1" applyAlignment="1" applyProtection="1">
      <alignment horizontal="center" vertical="center"/>
    </xf>
    <xf numFmtId="0" fontId="41" fillId="3" borderId="0" xfId="0" applyFont="1" applyFill="1" applyBorder="1" applyAlignment="1" applyProtection="1">
      <alignment horizontal="left" vertical="center" indent="1"/>
    </xf>
    <xf numFmtId="0" fontId="41" fillId="3" borderId="2" xfId="0" applyFont="1" applyFill="1" applyBorder="1" applyAlignment="1" applyProtection="1">
      <alignment horizontal="left" vertical="center" indent="1"/>
    </xf>
    <xf numFmtId="0" fontId="41" fillId="3" borderId="1" xfId="0" applyFont="1" applyFill="1" applyBorder="1" applyAlignment="1" applyProtection="1">
      <alignment horizontal="left" vertical="center" indent="1"/>
    </xf>
    <xf numFmtId="0" fontId="41" fillId="3" borderId="4" xfId="0" applyFont="1" applyFill="1" applyBorder="1" applyAlignment="1" applyProtection="1">
      <alignment horizontal="left" vertical="center" indent="1"/>
    </xf>
    <xf numFmtId="0" fontId="53" fillId="3" borderId="0" xfId="0" applyFont="1" applyFill="1" applyBorder="1" applyAlignment="1" applyProtection="1">
      <alignment horizontal="left" vertical="center" indent="1"/>
    </xf>
    <xf numFmtId="0" fontId="53" fillId="3" borderId="2" xfId="0" applyFont="1" applyFill="1" applyBorder="1" applyAlignment="1" applyProtection="1">
      <alignment horizontal="left" vertical="center" indent="1"/>
    </xf>
    <xf numFmtId="0" fontId="53" fillId="3" borderId="1" xfId="0" applyFont="1" applyFill="1" applyBorder="1" applyAlignment="1" applyProtection="1">
      <alignment horizontal="left" vertical="center" indent="1"/>
    </xf>
    <xf numFmtId="0" fontId="53" fillId="3" borderId="4" xfId="0" applyFont="1" applyFill="1" applyBorder="1" applyAlignment="1" applyProtection="1">
      <alignment horizontal="left" vertical="center" indent="1"/>
    </xf>
    <xf numFmtId="0" fontId="49" fillId="7" borderId="0" xfId="0" applyFont="1" applyFill="1" applyAlignment="1" applyProtection="1">
      <alignment horizontal="left" vertical="center"/>
    </xf>
    <xf numFmtId="0" fontId="41" fillId="3" borderId="1" xfId="0" applyFont="1" applyFill="1" applyBorder="1" applyAlignment="1">
      <alignment horizontal="center"/>
      <protection locked="0"/>
    </xf>
    <xf numFmtId="0" fontId="41" fillId="3" borderId="4" xfId="0" applyFont="1" applyFill="1" applyBorder="1" applyAlignment="1">
      <alignment horizontal="center"/>
      <protection locked="0"/>
    </xf>
    <xf numFmtId="0" fontId="62" fillId="3" borderId="1" xfId="0" applyFont="1" applyFill="1" applyBorder="1" applyAlignment="1">
      <alignment horizontal="center" vertical="center"/>
      <protection locked="0"/>
    </xf>
    <xf numFmtId="0" fontId="62" fillId="3" borderId="4" xfId="0" applyFont="1" applyFill="1" applyBorder="1" applyAlignment="1">
      <alignment horizontal="center" vertical="center"/>
      <protection locked="0"/>
    </xf>
    <xf numFmtId="9" fontId="12" fillId="3" borderId="0" xfId="0" applyNumberFormat="1" applyFont="1" applyFill="1" applyAlignment="1">
      <alignment horizontal="left" vertical="center" indent="6"/>
      <protection locked="0"/>
    </xf>
    <xf numFmtId="9" fontId="38" fillId="3" borderId="0" xfId="0" applyNumberFormat="1" applyFont="1" applyFill="1" applyAlignment="1">
      <alignment horizontal="left" vertical="center" indent="6"/>
      <protection locked="0"/>
    </xf>
    <xf numFmtId="9" fontId="50" fillId="3" borderId="0" xfId="0" applyNumberFormat="1" applyFont="1" applyFill="1" applyAlignment="1">
      <alignment horizontal="left" vertical="center" wrapText="1"/>
      <protection locked="0"/>
    </xf>
    <xf numFmtId="0" fontId="63" fillId="7" borderId="0" xfId="0" applyFont="1" applyFill="1" applyAlignment="1">
      <alignment horizontal="left" vertical="center"/>
      <protection locked="0"/>
    </xf>
    <xf numFmtId="0" fontId="20" fillId="7" borderId="0" xfId="0" applyFont="1" applyFill="1" applyAlignment="1">
      <alignment horizontal="left" vertical="top" wrapText="1"/>
      <protection locked="0"/>
    </xf>
    <xf numFmtId="0" fontId="60" fillId="3" borderId="0" xfId="0" applyFont="1" applyFill="1" applyAlignment="1">
      <alignment horizontal="left"/>
      <protection locked="0"/>
    </xf>
    <xf numFmtId="0" fontId="3" fillId="3" borderId="0" xfId="0" applyFont="1" applyFill="1" applyBorder="1" applyAlignment="1">
      <alignment horizontal="left" vertical="top" wrapText="1"/>
      <protection locked="0"/>
    </xf>
    <xf numFmtId="9" fontId="50" fillId="3" borderId="0" xfId="0" applyNumberFormat="1" applyFont="1" applyFill="1" applyAlignment="1">
      <alignment vertical="center" wrapText="1"/>
      <protection locked="0"/>
    </xf>
    <xf numFmtId="0" fontId="60" fillId="3" borderId="0" xfId="0" applyFont="1" applyFill="1" applyAlignment="1">
      <alignment horizontal="left" indent="13"/>
      <protection locked="0"/>
    </xf>
    <xf numFmtId="0" fontId="2" fillId="3" borderId="0" xfId="0" applyFont="1" applyFill="1" applyAlignment="1">
      <alignment horizontal="right" vertical="top" textRotation="180"/>
      <protection locked="0"/>
    </xf>
    <xf numFmtId="0" fontId="8" fillId="13" borderId="0" xfId="0" applyFont="1" applyFill="1" applyAlignment="1" applyProtection="1">
      <alignment horizontal="center" vertical="center"/>
    </xf>
    <xf numFmtId="0" fontId="7" fillId="3" borderId="21" xfId="1" applyFill="1" applyBorder="1" applyAlignment="1" applyProtection="1">
      <alignment horizontal="center" vertical="center" wrapText="1"/>
    </xf>
    <xf numFmtId="0" fontId="7" fillId="3" borderId="23" xfId="1" applyFill="1" applyBorder="1" applyAlignment="1" applyProtection="1">
      <alignment horizontal="center" vertical="center" wrapText="1"/>
    </xf>
    <xf numFmtId="0" fontId="7" fillId="3" borderId="22" xfId="1" applyFill="1" applyBorder="1" applyAlignment="1" applyProtection="1">
      <alignment horizontal="center" vertical="center" wrapText="1"/>
    </xf>
  </cellXfs>
  <cellStyles count="2">
    <cellStyle name="Hyperlink" xfId="1" builtinId="8"/>
    <cellStyle name="Normal" xfId="0" builtinId="0" customBuiltin="1"/>
  </cellStyles>
  <dxfs count="2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theme="0"/>
      </font>
      <fill>
        <gradientFill degree="45">
          <stop position="0">
            <color rgb="FFC55190"/>
          </stop>
          <stop position="1">
            <color rgb="FFC327AD"/>
          </stop>
        </gradientFill>
      </fill>
    </dxf>
    <dxf>
      <font>
        <b/>
        <i val="0"/>
        <color theme="0"/>
      </font>
      <fill>
        <gradientFill degree="45">
          <stop position="0">
            <color rgb="FFF59E00"/>
          </stop>
          <stop position="1">
            <color rgb="FFE25D22"/>
          </stop>
        </gradientFill>
      </fill>
    </dxf>
    <dxf>
      <font>
        <b/>
        <i val="0"/>
        <color theme="0"/>
      </font>
      <fill>
        <gradientFill degree="45">
          <stop position="0">
            <color rgb="FF00A494"/>
          </stop>
          <stop position="1">
            <color rgb="FF1DC6DD"/>
          </stop>
        </gradientFill>
      </fill>
    </dxf>
    <dxf>
      <font>
        <color theme="0"/>
      </font>
      <fill>
        <gradientFill degree="45">
          <stop position="0">
            <color rgb="FF00A4C5"/>
          </stop>
          <stop position="1">
            <color rgb="FF1DC6DD"/>
          </stop>
        </gradientFill>
      </fill>
    </dxf>
    <dxf>
      <font>
        <b/>
        <i val="0"/>
        <color theme="0"/>
      </font>
      <fill>
        <gradientFill degree="45">
          <stop position="0">
            <color rgb="FFC55190"/>
          </stop>
          <stop position="1">
            <color rgb="FFC327AD"/>
          </stop>
        </gradientFill>
      </fill>
    </dxf>
    <dxf>
      <font>
        <b/>
        <i val="0"/>
        <color theme="0"/>
      </font>
      <fill>
        <gradientFill degree="45">
          <stop position="0">
            <color rgb="FFF59E00"/>
          </stop>
          <stop position="1">
            <color rgb="FFE25D22"/>
          </stop>
        </gradientFill>
      </fill>
    </dxf>
    <dxf>
      <font>
        <b/>
        <i val="0"/>
        <color theme="0"/>
      </font>
      <fill>
        <gradientFill degree="45">
          <stop position="0">
            <color rgb="FF00A494"/>
          </stop>
          <stop position="1">
            <color rgb="FF00A494"/>
          </stop>
        </gradientFill>
      </fill>
    </dxf>
    <dxf>
      <font>
        <b/>
        <i val="0"/>
        <color theme="0"/>
      </font>
      <fill>
        <gradientFill degree="225">
          <stop position="0">
            <color rgb="FFC55190"/>
          </stop>
          <stop position="1">
            <color rgb="FFC327AD"/>
          </stop>
        </gradientFill>
      </fill>
    </dxf>
    <dxf>
      <font>
        <color theme="0"/>
      </font>
      <fill>
        <gradientFill degree="45">
          <stop position="0">
            <color rgb="FFEE860E"/>
          </stop>
          <stop position="1">
            <color rgb="FFF59E00"/>
          </stop>
        </gradientFill>
      </fill>
    </dxf>
    <dxf>
      <font>
        <b/>
        <i val="0"/>
        <color theme="0"/>
      </font>
      <fill>
        <gradientFill degree="45">
          <stop position="0">
            <color rgb="FFC55190"/>
          </stop>
          <stop position="1">
            <color rgb="FFC327AD"/>
          </stop>
        </gradientFill>
      </fill>
    </dxf>
    <dxf>
      <font>
        <b/>
        <i val="0"/>
        <color theme="0"/>
      </font>
      <fill>
        <gradientFill degree="45">
          <stop position="0">
            <color rgb="FFF59E00"/>
          </stop>
          <stop position="1">
            <color rgb="FFE25D22"/>
          </stop>
        </gradientFill>
      </fill>
    </dxf>
    <dxf>
      <font>
        <b/>
        <i val="0"/>
        <color theme="0"/>
      </font>
      <fill>
        <gradientFill degree="45">
          <stop position="0">
            <color rgb="FF00A494"/>
          </stop>
          <stop position="1">
            <color rgb="FF1DC6DD"/>
          </stop>
        </gradientFill>
      </fill>
    </dxf>
    <dxf>
      <font>
        <b/>
        <i val="0"/>
        <color theme="0"/>
      </font>
      <fill>
        <gradientFill degree="225">
          <stop position="0">
            <color rgb="FFC55190"/>
          </stop>
          <stop position="1">
            <color rgb="FFC327AD"/>
          </stop>
        </gradientFill>
      </fill>
    </dxf>
    <dxf>
      <font>
        <color theme="0"/>
      </font>
      <fill>
        <gradientFill degree="45">
          <stop position="0">
            <color rgb="FFEE860E"/>
          </stop>
          <stop position="1">
            <color rgb="FFF59E00"/>
          </stop>
        </gradientFill>
      </fill>
    </dxf>
    <dxf>
      <font>
        <b/>
        <i val="0"/>
        <color theme="0"/>
      </font>
      <fill>
        <gradientFill degree="45">
          <stop position="0">
            <color rgb="FFC55190"/>
          </stop>
          <stop position="1">
            <color rgb="FFC327AD"/>
          </stop>
        </gradientFill>
      </fill>
    </dxf>
    <dxf>
      <font>
        <b/>
        <i val="0"/>
        <color theme="0"/>
      </font>
      <fill>
        <gradientFill degree="45">
          <stop position="0">
            <color rgb="FFF59E00"/>
          </stop>
          <stop position="1">
            <color rgb="FFE25D22"/>
          </stop>
        </gradientFill>
      </fill>
    </dxf>
    <dxf>
      <font>
        <b/>
        <i val="0"/>
        <color theme="0"/>
      </font>
      <fill>
        <gradientFill degree="45">
          <stop position="0">
            <color rgb="FF00A494"/>
          </stop>
          <stop position="1">
            <color rgb="FF1DC6DD"/>
          </stop>
        </gradientFill>
      </fill>
    </dxf>
    <dxf>
      <font>
        <b/>
        <i val="0"/>
        <color theme="0"/>
      </font>
      <fill>
        <gradientFill degree="45">
          <stop position="0">
            <color rgb="FFC55190"/>
          </stop>
          <stop position="1">
            <color rgb="FFC327AD"/>
          </stop>
        </gradientFill>
      </fill>
    </dxf>
    <dxf>
      <font>
        <b/>
        <i val="0"/>
        <color theme="0"/>
      </font>
      <fill>
        <gradientFill degree="45">
          <stop position="0">
            <color rgb="FFF59E00"/>
          </stop>
          <stop position="1">
            <color rgb="FFE25D22"/>
          </stop>
        </gradientFill>
      </fill>
    </dxf>
    <dxf>
      <font>
        <b/>
        <i val="0"/>
        <color theme="0"/>
      </font>
      <fill>
        <gradientFill degree="45">
          <stop position="0">
            <color rgb="FF00A494"/>
          </stop>
          <stop position="1">
            <color rgb="FF1DC6DD"/>
          </stop>
        </gradientFill>
      </fill>
    </dxf>
  </dxfs>
  <tableStyles count="0" defaultTableStyle="TableStyleMedium2" defaultPivotStyle="PivotStyleLight16"/>
  <colors>
    <mruColors>
      <color rgb="FFBE2E89"/>
      <color rgb="FFC43052"/>
      <color rgb="FF005477"/>
      <color rgb="FF934011"/>
      <color rgb="FFA49700"/>
      <color rgb="FFE66019"/>
      <color rgb="FF59344D"/>
      <color rgb="FF522D46"/>
      <color rgb="FFC75391"/>
      <color rgb="FF00A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26</xdr:col>
      <xdr:colOff>417195</xdr:colOff>
      <xdr:row>32</xdr:row>
      <xdr:rowOff>120722</xdr:rowOff>
    </xdr:from>
    <xdr:to>
      <xdr:col>29</xdr:col>
      <xdr:colOff>104775</xdr:colOff>
      <xdr:row>37</xdr:row>
      <xdr:rowOff>49345</xdr:rowOff>
    </xdr:to>
    <xdr:pic>
      <xdr:nvPicPr>
        <xdr:cNvPr id="3" name="Picture 2"/>
        <xdr:cNvPicPr>
          <a:picLocks noChangeAspect="1"/>
        </xdr:cNvPicPr>
      </xdr:nvPicPr>
      <xdr:blipFill>
        <a:blip xmlns:r="http://schemas.openxmlformats.org/officeDocument/2006/relationships" r:embed="rId1"/>
        <a:stretch>
          <a:fillRect/>
        </a:stretch>
      </xdr:blipFill>
      <xdr:spPr>
        <a:xfrm>
          <a:off x="13028295" y="4597472"/>
          <a:ext cx="1354455" cy="642998"/>
        </a:xfrm>
        <a:prstGeom prst="rect">
          <a:avLst/>
        </a:prstGeom>
      </xdr:spPr>
    </xdr:pic>
    <xdr:clientData/>
  </xdr:twoCellAnchor>
  <xdr:twoCellAnchor editAs="oneCell">
    <xdr:from>
      <xdr:col>1</xdr:col>
      <xdr:colOff>47626</xdr:colOff>
      <xdr:row>1</xdr:row>
      <xdr:rowOff>86168</xdr:rowOff>
    </xdr:from>
    <xdr:to>
      <xdr:col>5</xdr:col>
      <xdr:colOff>47625</xdr:colOff>
      <xdr:row>13</xdr:row>
      <xdr:rowOff>46217</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6" y="133793"/>
          <a:ext cx="2266949" cy="1674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38619</xdr:colOff>
      <xdr:row>10</xdr:row>
      <xdr:rowOff>137078</xdr:rowOff>
    </xdr:from>
    <xdr:to>
      <xdr:col>3</xdr:col>
      <xdr:colOff>213243</xdr:colOff>
      <xdr:row>15</xdr:row>
      <xdr:rowOff>29404</xdr:rowOff>
    </xdr:to>
    <xdr:pic>
      <xdr:nvPicPr>
        <xdr:cNvPr id="3" name="Picture 2"/>
        <xdr:cNvPicPr>
          <a:picLocks noChangeAspect="1"/>
        </xdr:cNvPicPr>
      </xdr:nvPicPr>
      <xdr:blipFill rotWithShape="1">
        <a:blip xmlns:r="http://schemas.openxmlformats.org/officeDocument/2006/relationships" r:embed="rId1"/>
        <a:srcRect r="14999"/>
        <a:stretch/>
      </xdr:blipFill>
      <xdr:spPr>
        <a:xfrm>
          <a:off x="38619" y="1965878"/>
          <a:ext cx="1495424" cy="837206"/>
        </a:xfrm>
        <a:prstGeom prst="rect">
          <a:avLst/>
        </a:prstGeom>
      </xdr:spPr>
    </xdr:pic>
    <xdr:clientData/>
  </xdr:twoCellAnchor>
  <xdr:twoCellAnchor editAs="oneCell">
    <xdr:from>
      <xdr:col>0</xdr:col>
      <xdr:colOff>38619</xdr:colOff>
      <xdr:row>16</xdr:row>
      <xdr:rowOff>152400</xdr:rowOff>
    </xdr:from>
    <xdr:to>
      <xdr:col>3</xdr:col>
      <xdr:colOff>213243</xdr:colOff>
      <xdr:row>21</xdr:row>
      <xdr:rowOff>44726</xdr:rowOff>
    </xdr:to>
    <xdr:pic>
      <xdr:nvPicPr>
        <xdr:cNvPr id="5" name="Picture 4"/>
        <xdr:cNvPicPr>
          <a:picLocks noChangeAspect="1"/>
        </xdr:cNvPicPr>
      </xdr:nvPicPr>
      <xdr:blipFill rotWithShape="1">
        <a:blip xmlns:r="http://schemas.openxmlformats.org/officeDocument/2006/relationships" r:embed="rId1"/>
        <a:srcRect r="14999"/>
        <a:stretch/>
      </xdr:blipFill>
      <xdr:spPr>
        <a:xfrm>
          <a:off x="38619" y="3116580"/>
          <a:ext cx="1495424" cy="837206"/>
        </a:xfrm>
        <a:prstGeom prst="rect">
          <a:avLst/>
        </a:prstGeom>
      </xdr:spPr>
    </xdr:pic>
    <xdr:clientData/>
  </xdr:twoCellAnchor>
  <xdr:twoCellAnchor editAs="oneCell">
    <xdr:from>
      <xdr:col>0</xdr:col>
      <xdr:colOff>38619</xdr:colOff>
      <xdr:row>22</xdr:row>
      <xdr:rowOff>147430</xdr:rowOff>
    </xdr:from>
    <xdr:to>
      <xdr:col>3</xdr:col>
      <xdr:colOff>213243</xdr:colOff>
      <xdr:row>27</xdr:row>
      <xdr:rowOff>39756</xdr:rowOff>
    </xdr:to>
    <xdr:pic>
      <xdr:nvPicPr>
        <xdr:cNvPr id="6" name="Picture 5"/>
        <xdr:cNvPicPr>
          <a:picLocks noChangeAspect="1"/>
        </xdr:cNvPicPr>
      </xdr:nvPicPr>
      <xdr:blipFill rotWithShape="1">
        <a:blip xmlns:r="http://schemas.openxmlformats.org/officeDocument/2006/relationships" r:embed="rId1"/>
        <a:srcRect r="14999"/>
        <a:stretch/>
      </xdr:blipFill>
      <xdr:spPr>
        <a:xfrm>
          <a:off x="38619" y="4239370"/>
          <a:ext cx="1495424" cy="837206"/>
        </a:xfrm>
        <a:prstGeom prst="rect">
          <a:avLst/>
        </a:prstGeom>
      </xdr:spPr>
    </xdr:pic>
    <xdr:clientData/>
  </xdr:twoCellAnchor>
  <xdr:twoCellAnchor editAs="oneCell">
    <xdr:from>
      <xdr:col>0</xdr:col>
      <xdr:colOff>38619</xdr:colOff>
      <xdr:row>28</xdr:row>
      <xdr:rowOff>150742</xdr:rowOff>
    </xdr:from>
    <xdr:to>
      <xdr:col>3</xdr:col>
      <xdr:colOff>213243</xdr:colOff>
      <xdr:row>33</xdr:row>
      <xdr:rowOff>43068</xdr:rowOff>
    </xdr:to>
    <xdr:pic>
      <xdr:nvPicPr>
        <xdr:cNvPr id="7" name="Picture 6"/>
        <xdr:cNvPicPr>
          <a:picLocks noChangeAspect="1"/>
        </xdr:cNvPicPr>
      </xdr:nvPicPr>
      <xdr:blipFill rotWithShape="1">
        <a:blip xmlns:r="http://schemas.openxmlformats.org/officeDocument/2006/relationships" r:embed="rId1"/>
        <a:srcRect r="14999"/>
        <a:stretch/>
      </xdr:blipFill>
      <xdr:spPr>
        <a:xfrm>
          <a:off x="38619" y="5370442"/>
          <a:ext cx="1495424" cy="837206"/>
        </a:xfrm>
        <a:prstGeom prst="rect">
          <a:avLst/>
        </a:prstGeom>
      </xdr:spPr>
    </xdr:pic>
    <xdr:clientData/>
  </xdr:twoCellAnchor>
  <xdr:twoCellAnchor editAs="oneCell">
    <xdr:from>
      <xdr:col>6</xdr:col>
      <xdr:colOff>201084</xdr:colOff>
      <xdr:row>1</xdr:row>
      <xdr:rowOff>38735</xdr:rowOff>
    </xdr:from>
    <xdr:to>
      <xdr:col>9</xdr:col>
      <xdr:colOff>402167</xdr:colOff>
      <xdr:row>9</xdr:row>
      <xdr:rowOff>23549</xdr:rowOff>
    </xdr:to>
    <xdr:pic>
      <xdr:nvPicPr>
        <xdr:cNvPr id="8" name="Picture 7"/>
        <xdr:cNvPicPr>
          <a:picLocks noChangeAspect="1"/>
        </xdr:cNvPicPr>
      </xdr:nvPicPr>
      <xdr:blipFill>
        <a:blip xmlns:r="http://schemas.openxmlformats.org/officeDocument/2006/relationships" r:embed="rId2"/>
        <a:stretch>
          <a:fillRect/>
        </a:stretch>
      </xdr:blipFill>
      <xdr:spPr>
        <a:xfrm>
          <a:off x="3450167" y="229235"/>
          <a:ext cx="2042583" cy="1508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42334</xdr:colOff>
      <xdr:row>1</xdr:row>
      <xdr:rowOff>123401</xdr:rowOff>
    </xdr:from>
    <xdr:to>
      <xdr:col>1</xdr:col>
      <xdr:colOff>949829</xdr:colOff>
      <xdr:row>5</xdr:row>
      <xdr:rowOff>31749</xdr:rowOff>
    </xdr:to>
    <xdr:pic>
      <xdr:nvPicPr>
        <xdr:cNvPr id="6" name="Picture 5"/>
        <xdr:cNvPicPr>
          <a:picLocks noChangeAspect="1"/>
        </xdr:cNvPicPr>
      </xdr:nvPicPr>
      <xdr:blipFill>
        <a:blip xmlns:r="http://schemas.openxmlformats.org/officeDocument/2006/relationships" r:embed="rId1"/>
        <a:stretch>
          <a:fillRect/>
        </a:stretch>
      </xdr:blipFill>
      <xdr:spPr>
        <a:xfrm>
          <a:off x="296334" y="313901"/>
          <a:ext cx="907495" cy="670348"/>
        </a:xfrm>
        <a:prstGeom prst="rect">
          <a:avLst/>
        </a:prstGeom>
      </xdr:spPr>
    </xdr:pic>
    <xdr:clientData/>
  </xdr:twoCellAnchor>
  <xdr:twoCellAnchor editAs="oneCell">
    <xdr:from>
      <xdr:col>1</xdr:col>
      <xdr:colOff>21168</xdr:colOff>
      <xdr:row>62</xdr:row>
      <xdr:rowOff>52917</xdr:rowOff>
    </xdr:from>
    <xdr:to>
      <xdr:col>1</xdr:col>
      <xdr:colOff>921168</xdr:colOff>
      <xdr:row>67</xdr:row>
      <xdr:rowOff>417</xdr:rowOff>
    </xdr:to>
    <xdr:pic>
      <xdr:nvPicPr>
        <xdr:cNvPr id="7" name="Pictur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168" y="11980334"/>
          <a:ext cx="900000" cy="900000"/>
        </a:xfrm>
        <a:prstGeom prst="rect">
          <a:avLst/>
        </a:prstGeom>
      </xdr:spPr>
    </xdr:pic>
    <xdr:clientData/>
  </xdr:twoCellAnchor>
  <xdr:twoCellAnchor editAs="oneCell">
    <xdr:from>
      <xdr:col>1</xdr:col>
      <xdr:colOff>1833</xdr:colOff>
      <xdr:row>6</xdr:row>
      <xdr:rowOff>12416</xdr:rowOff>
    </xdr:from>
    <xdr:to>
      <xdr:col>1</xdr:col>
      <xdr:colOff>901833</xdr:colOff>
      <xdr:row>10</xdr:row>
      <xdr:rowOff>150416</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750" y="1155416"/>
          <a:ext cx="900000" cy="900000"/>
        </a:xfrm>
        <a:prstGeom prst="rect">
          <a:avLst/>
        </a:prstGeom>
      </xdr:spPr>
    </xdr:pic>
    <xdr:clientData/>
  </xdr:twoCellAnchor>
  <xdr:twoCellAnchor editAs="oneCell">
    <xdr:from>
      <xdr:col>1</xdr:col>
      <xdr:colOff>24834</xdr:colOff>
      <xdr:row>57</xdr:row>
      <xdr:rowOff>14249</xdr:rowOff>
    </xdr:from>
    <xdr:to>
      <xdr:col>1</xdr:col>
      <xdr:colOff>924834</xdr:colOff>
      <xdr:row>61</xdr:row>
      <xdr:rowOff>152249</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4751" y="10872749"/>
          <a:ext cx="900000" cy="900000"/>
        </a:xfrm>
        <a:prstGeom prst="rect">
          <a:avLst/>
        </a:prstGeom>
      </xdr:spPr>
    </xdr:pic>
    <xdr:clientData/>
  </xdr:twoCellAnchor>
  <xdr:twoCellAnchor editAs="oneCell">
    <xdr:from>
      <xdr:col>8</xdr:col>
      <xdr:colOff>16084</xdr:colOff>
      <xdr:row>20</xdr:row>
      <xdr:rowOff>174833</xdr:rowOff>
    </xdr:from>
    <xdr:to>
      <xdr:col>8</xdr:col>
      <xdr:colOff>916084</xdr:colOff>
      <xdr:row>25</xdr:row>
      <xdr:rowOff>122333</xdr:rowOff>
    </xdr:to>
    <xdr:pic>
      <xdr:nvPicPr>
        <xdr:cNvPr id="10" name="Picture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42084" y="3984833"/>
          <a:ext cx="900000" cy="900000"/>
        </a:xfrm>
        <a:prstGeom prst="rect">
          <a:avLst/>
        </a:prstGeom>
      </xdr:spPr>
    </xdr:pic>
    <xdr:clientData/>
  </xdr:twoCellAnchor>
  <xdr:twoCellAnchor editAs="oneCell">
    <xdr:from>
      <xdr:col>7</xdr:col>
      <xdr:colOff>801083</xdr:colOff>
      <xdr:row>6</xdr:row>
      <xdr:rowOff>7333</xdr:rowOff>
    </xdr:from>
    <xdr:to>
      <xdr:col>8</xdr:col>
      <xdr:colOff>896750</xdr:colOff>
      <xdr:row>10</xdr:row>
      <xdr:rowOff>145333</xdr:rowOff>
    </xdr:to>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822750" y="1150333"/>
          <a:ext cx="900000" cy="900000"/>
        </a:xfrm>
        <a:prstGeom prst="rect">
          <a:avLst/>
        </a:prstGeom>
      </xdr:spPr>
    </xdr:pic>
    <xdr:clientData/>
  </xdr:twoCellAnchor>
  <xdr:twoCellAnchor editAs="oneCell">
    <xdr:from>
      <xdr:col>0</xdr:col>
      <xdr:colOff>167917</xdr:colOff>
      <xdr:row>33</xdr:row>
      <xdr:rowOff>21167</xdr:rowOff>
    </xdr:from>
    <xdr:to>
      <xdr:col>1</xdr:col>
      <xdr:colOff>813917</xdr:colOff>
      <xdr:row>37</xdr:row>
      <xdr:rowOff>159167</xdr:rowOff>
    </xdr:to>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7917" y="6307667"/>
          <a:ext cx="900000" cy="9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clark.uk/2keDc3Q"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90"/>
  <sheetViews>
    <sheetView tabSelected="1" zoomScaleNormal="100" workbookViewId="0">
      <selection activeCell="L4" sqref="L4:O4"/>
    </sheetView>
  </sheetViews>
  <sheetFormatPr defaultColWidth="9.140625" defaultRowHeight="11.45" customHeight="1" x14ac:dyDescent="0.2"/>
  <cols>
    <col min="1" max="1" width="3.140625" style="73" customWidth="1"/>
    <col min="2" max="2" width="6.5703125" style="73" customWidth="1"/>
    <col min="3" max="5" width="9.140625" style="73"/>
    <col min="6" max="6" width="7.140625" style="73" customWidth="1"/>
    <col min="7" max="7" width="1" style="70" customWidth="1"/>
    <col min="8" max="8" width="6" style="70" customWidth="1"/>
    <col min="9" max="9" width="9.140625" style="70"/>
    <col min="10" max="10" width="9.140625" style="70" customWidth="1"/>
    <col min="11" max="13" width="9.140625" style="70"/>
    <col min="14" max="14" width="8" style="70" customWidth="1"/>
    <col min="15" max="15" width="9.85546875" style="70" customWidth="1"/>
    <col min="16" max="16" width="1.7109375" style="70" customWidth="1"/>
    <col min="17" max="17" width="8.28515625" style="71" customWidth="1"/>
    <col min="18" max="18" width="1.42578125" style="71" customWidth="1"/>
    <col min="19" max="19" width="8.28515625" style="71" customWidth="1"/>
    <col min="20" max="20" width="3.5703125" style="70" customWidth="1"/>
    <col min="21" max="21" width="1" style="121" customWidth="1"/>
    <col min="22" max="22" width="6.28515625" style="70" customWidth="1"/>
    <col min="23" max="23" width="7.5703125" style="70" customWidth="1"/>
    <col min="24" max="24" width="18.85546875" style="70" customWidth="1"/>
    <col min="25" max="26" width="7.5703125" style="70" customWidth="1"/>
    <col min="27" max="27" width="10.7109375" style="70" customWidth="1"/>
    <col min="28" max="28" width="6.7109375" style="70" customWidth="1"/>
    <col min="29" max="30" width="7.5703125" style="70" customWidth="1"/>
    <col min="31" max="31" width="255.7109375" style="122" customWidth="1"/>
    <col min="32" max="32" width="9.140625" style="122" customWidth="1"/>
    <col min="33" max="33" width="9.140625" style="122"/>
    <col min="34" max="34" width="192.28515625" style="122" customWidth="1"/>
    <col min="35" max="39" width="9.140625" style="122"/>
    <col min="40" max="16384" width="9.140625" style="73"/>
  </cols>
  <sheetData>
    <row r="1" spans="1:105" ht="3.75" customHeight="1" x14ac:dyDescent="0.2">
      <c r="A1" s="70"/>
      <c r="B1" s="70"/>
      <c r="C1" s="70"/>
      <c r="D1" s="70"/>
      <c r="E1" s="70"/>
      <c r="F1" s="70"/>
      <c r="U1" s="72"/>
      <c r="AE1" s="176"/>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row>
    <row r="2" spans="1:105" ht="11.45" customHeight="1" x14ac:dyDescent="0.2">
      <c r="A2" s="70"/>
      <c r="B2" s="70"/>
      <c r="C2" s="70"/>
      <c r="D2" s="70"/>
      <c r="E2" s="70"/>
      <c r="F2" s="70"/>
      <c r="U2" s="72"/>
      <c r="AE2" s="176"/>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row>
    <row r="3" spans="1:105" ht="11.45" customHeight="1" x14ac:dyDescent="0.2">
      <c r="A3" s="70"/>
      <c r="B3" s="70"/>
      <c r="C3" s="70"/>
      <c r="D3" s="70"/>
      <c r="E3" s="70"/>
      <c r="F3" s="70"/>
      <c r="U3" s="72"/>
      <c r="AE3" s="176"/>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row>
    <row r="4" spans="1:105" ht="11.45" customHeight="1" x14ac:dyDescent="0.25">
      <c r="A4" s="70"/>
      <c r="B4" s="70"/>
      <c r="C4" s="70"/>
      <c r="D4" s="70"/>
      <c r="E4" s="70"/>
      <c r="F4" s="70"/>
      <c r="H4" s="74">
        <v>1</v>
      </c>
      <c r="I4" s="75" t="s">
        <v>0</v>
      </c>
      <c r="L4" s="183"/>
      <c r="M4" s="183"/>
      <c r="N4" s="183"/>
      <c r="O4" s="183"/>
      <c r="U4" s="72"/>
      <c r="W4" s="75">
        <v>1</v>
      </c>
      <c r="X4" s="75" t="s">
        <v>2</v>
      </c>
      <c r="AE4" s="176"/>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row>
    <row r="5" spans="1:105" ht="11.45" customHeight="1" x14ac:dyDescent="0.25">
      <c r="A5" s="70"/>
      <c r="B5" s="70"/>
      <c r="C5" s="70"/>
      <c r="D5" s="70"/>
      <c r="E5" s="70"/>
      <c r="F5" s="70"/>
      <c r="L5" s="76"/>
      <c r="M5" s="76"/>
      <c r="N5" s="76"/>
      <c r="O5" s="76"/>
      <c r="S5" s="77"/>
      <c r="U5" s="72"/>
      <c r="W5" s="78"/>
      <c r="X5" s="78"/>
      <c r="AE5" s="176"/>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row>
    <row r="6" spans="1:105" ht="11.45" customHeight="1" x14ac:dyDescent="0.3">
      <c r="A6" s="70"/>
      <c r="B6" s="70"/>
      <c r="C6" s="70"/>
      <c r="D6" s="70"/>
      <c r="E6" s="70"/>
      <c r="F6" s="70"/>
      <c r="H6" s="74">
        <v>2</v>
      </c>
      <c r="I6" s="74" t="s">
        <v>317</v>
      </c>
      <c r="L6" s="182"/>
      <c r="M6" s="182"/>
      <c r="N6" s="182"/>
      <c r="O6" s="182"/>
      <c r="Q6" s="79" t="s">
        <v>310</v>
      </c>
      <c r="R6" s="79"/>
      <c r="S6" s="80" t="s">
        <v>465</v>
      </c>
      <c r="T6" s="81"/>
      <c r="U6" s="72"/>
      <c r="X6" s="82" t="s">
        <v>3</v>
      </c>
      <c r="Y6" s="83"/>
      <c r="Z6" s="83"/>
      <c r="AA6" s="82" t="s">
        <v>4</v>
      </c>
      <c r="AB6" s="84"/>
      <c r="AC6" s="84"/>
      <c r="AE6" s="176"/>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row>
    <row r="7" spans="1:105" ht="11.45" customHeight="1" x14ac:dyDescent="0.3">
      <c r="A7" s="70"/>
      <c r="B7" s="70"/>
      <c r="C7" s="70"/>
      <c r="D7" s="70"/>
      <c r="E7" s="70"/>
      <c r="F7" s="70"/>
      <c r="L7" s="76"/>
      <c r="M7" s="76"/>
      <c r="N7" s="76"/>
      <c r="O7" s="76"/>
      <c r="P7" s="81"/>
      <c r="Q7" s="85"/>
      <c r="R7" s="85"/>
      <c r="S7" s="86"/>
      <c r="T7" s="81"/>
      <c r="U7" s="72"/>
      <c r="X7" s="87" t="s">
        <v>5</v>
      </c>
      <c r="Y7" s="88">
        <f>'Input Processing'!D4</f>
        <v>0</v>
      </c>
      <c r="Z7" s="89"/>
      <c r="AA7" s="87" t="s">
        <v>5</v>
      </c>
      <c r="AB7" s="90"/>
      <c r="AC7" s="88" t="e">
        <f>VLOOKUP(L4,'Lookup Table (Text to be added)'!A1:K5,2,FALSE)</f>
        <v>#N/A</v>
      </c>
      <c r="AE7" s="176"/>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row>
    <row r="8" spans="1:105" ht="11.45" customHeight="1" x14ac:dyDescent="0.3">
      <c r="A8" s="70"/>
      <c r="B8" s="70"/>
      <c r="C8" s="70"/>
      <c r="D8" s="70"/>
      <c r="E8" s="70"/>
      <c r="F8" s="70"/>
      <c r="H8" s="74">
        <v>3</v>
      </c>
      <c r="I8" s="75" t="s">
        <v>6</v>
      </c>
      <c r="L8" s="180"/>
      <c r="M8" s="180"/>
      <c r="N8" s="180"/>
      <c r="O8" s="180"/>
      <c r="Q8" s="68"/>
      <c r="R8" s="91"/>
      <c r="S8" s="69" t="s">
        <v>313</v>
      </c>
      <c r="U8" s="72"/>
      <c r="X8" s="84"/>
      <c r="Y8" s="84"/>
      <c r="Z8" s="84"/>
      <c r="AA8" s="84"/>
      <c r="AB8" s="84"/>
      <c r="AC8" s="92"/>
      <c r="AE8" s="176"/>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row>
    <row r="9" spans="1:105" ht="11.45" customHeight="1" x14ac:dyDescent="0.3">
      <c r="A9" s="70"/>
      <c r="B9" s="70"/>
      <c r="C9" s="70"/>
      <c r="D9" s="70"/>
      <c r="E9" s="70"/>
      <c r="F9" s="70"/>
      <c r="I9" s="93" t="s">
        <v>7</v>
      </c>
      <c r="L9" s="180" t="str">
        <f>IF(Q9="","",IFERROR(VLOOKUP(Q9,'Product Reference'!A:B,2,FALSE),"Please manually enter"))</f>
        <v/>
      </c>
      <c r="M9" s="180"/>
      <c r="N9" s="180"/>
      <c r="O9" s="180"/>
      <c r="Q9" s="68"/>
      <c r="R9" s="91"/>
      <c r="S9" s="69"/>
      <c r="U9" s="72"/>
      <c r="X9" s="84"/>
      <c r="Y9" s="84"/>
      <c r="Z9" s="84"/>
      <c r="AA9" s="87" t="s">
        <v>8</v>
      </c>
      <c r="AB9" s="84"/>
      <c r="AC9" s="88" t="e">
        <f>-(AC7-Y7)</f>
        <v>#N/A</v>
      </c>
      <c r="AE9" s="176"/>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row>
    <row r="10" spans="1:105" ht="11.45" customHeight="1" x14ac:dyDescent="0.25">
      <c r="A10" s="70"/>
      <c r="B10" s="70"/>
      <c r="C10" s="70"/>
      <c r="D10" s="70"/>
      <c r="E10" s="70"/>
      <c r="F10" s="70"/>
      <c r="L10" s="180" t="str">
        <f>IF(Q10="","",IFERROR(VLOOKUP(Q10,'Product Reference'!A:B,2,FALSE),"Please manually enter"))</f>
        <v/>
      </c>
      <c r="M10" s="180"/>
      <c r="N10" s="180"/>
      <c r="O10" s="180"/>
      <c r="Q10" s="68"/>
      <c r="R10" s="91"/>
      <c r="S10" s="69"/>
      <c r="U10" s="72"/>
      <c r="AB10" s="94"/>
      <c r="AC10" s="95"/>
      <c r="AE10" s="176"/>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row>
    <row r="11" spans="1:105" ht="11.45" customHeight="1" x14ac:dyDescent="0.2">
      <c r="A11" s="70"/>
      <c r="B11" s="70"/>
      <c r="C11" s="70"/>
      <c r="D11" s="70"/>
      <c r="E11" s="70"/>
      <c r="F11" s="70"/>
      <c r="I11" s="195" t="s">
        <v>9</v>
      </c>
      <c r="J11" s="195"/>
      <c r="L11" s="180" t="str">
        <f>IF(Q11="","",IFERROR(VLOOKUP(Q11,'Product Reference'!A:B,2,FALSE),"Please manually enter"))</f>
        <v/>
      </c>
      <c r="M11" s="180"/>
      <c r="N11" s="180"/>
      <c r="O11" s="180"/>
      <c r="Q11" s="68"/>
      <c r="R11" s="91"/>
      <c r="S11" s="69"/>
      <c r="U11" s="72"/>
      <c r="X11" s="96" t="s">
        <v>10</v>
      </c>
      <c r="Y11" s="181" t="e">
        <f>VLOOKUP(L4,'Lookup Table (Text to be added)'!A1:Z5,12,FALSE)</f>
        <v>#N/A</v>
      </c>
      <c r="Z11" s="181"/>
      <c r="AA11" s="181"/>
      <c r="AB11" s="181"/>
      <c r="AC11" s="181"/>
      <c r="AE11" s="176"/>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row>
    <row r="12" spans="1:105" ht="11.45" customHeight="1" x14ac:dyDescent="0.2">
      <c r="A12" s="70"/>
      <c r="B12" s="70"/>
      <c r="C12" s="70"/>
      <c r="D12" s="70"/>
      <c r="E12" s="70"/>
      <c r="F12" s="70"/>
      <c r="I12" s="195"/>
      <c r="J12" s="195"/>
      <c r="L12" s="180" t="str">
        <f>IF(Q12="","",IFERROR(VLOOKUP(Q12,'Product Reference'!A:B,2,FALSE),"Please manually enter"))</f>
        <v/>
      </c>
      <c r="M12" s="180"/>
      <c r="N12" s="180"/>
      <c r="O12" s="180"/>
      <c r="Q12" s="68"/>
      <c r="R12" s="91"/>
      <c r="S12" s="69"/>
      <c r="U12" s="72"/>
      <c r="AE12" s="176"/>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row>
    <row r="13" spans="1:105" ht="11.45" customHeight="1" x14ac:dyDescent="0.25">
      <c r="A13" s="70"/>
      <c r="B13" s="70"/>
      <c r="C13" s="70"/>
      <c r="D13" s="70"/>
      <c r="E13" s="70"/>
      <c r="F13" s="70"/>
      <c r="H13" s="97" t="s">
        <v>11</v>
      </c>
      <c r="I13" s="195"/>
      <c r="J13" s="195"/>
      <c r="L13" s="180" t="str">
        <f>IF(Q13="","",IFERROR(VLOOKUP(Q13,'Product Reference'!A:B,2,FALSE),"Please manually enter"))</f>
        <v/>
      </c>
      <c r="M13" s="180"/>
      <c r="N13" s="180"/>
      <c r="O13" s="180"/>
      <c r="Q13" s="68"/>
      <c r="R13" s="91"/>
      <c r="S13" s="69"/>
      <c r="U13" s="72"/>
      <c r="W13" s="75">
        <v>2</v>
      </c>
      <c r="X13" s="75" t="s">
        <v>12</v>
      </c>
      <c r="Y13" s="95"/>
      <c r="Z13" s="95"/>
      <c r="AA13" s="78"/>
      <c r="AB13" s="94"/>
      <c r="AC13" s="95"/>
      <c r="AE13" s="176"/>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row>
    <row r="14" spans="1:105" ht="11.45" customHeight="1" x14ac:dyDescent="0.25">
      <c r="A14" s="70"/>
      <c r="B14" s="70"/>
      <c r="C14" s="70"/>
      <c r="D14" s="70"/>
      <c r="E14" s="70"/>
      <c r="F14" s="70"/>
      <c r="H14" s="97" t="s">
        <v>1</v>
      </c>
      <c r="I14" s="195"/>
      <c r="J14" s="195"/>
      <c r="L14" s="180" t="str">
        <f>IF(Q14="","",IFERROR(VLOOKUP(Q14,'Product Reference'!A:B,2,FALSE),"Please manually enter"))</f>
        <v/>
      </c>
      <c r="M14" s="180"/>
      <c r="N14" s="180"/>
      <c r="O14" s="180"/>
      <c r="Q14" s="68"/>
      <c r="R14" s="91"/>
      <c r="S14" s="69"/>
      <c r="U14" s="72"/>
      <c r="AC14" s="95"/>
      <c r="AE14" s="176"/>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row>
    <row r="15" spans="1:105" ht="11.45" customHeight="1" x14ac:dyDescent="0.3">
      <c r="A15" s="70"/>
      <c r="B15" s="98"/>
      <c r="C15" s="98"/>
      <c r="D15" s="98"/>
      <c r="E15" s="98"/>
      <c r="F15" s="70"/>
      <c r="H15" s="97" t="s">
        <v>13</v>
      </c>
      <c r="I15" s="195"/>
      <c r="J15" s="195"/>
      <c r="L15" s="180" t="str">
        <f>IF(Q15="","",IFERROR(VLOOKUP(Q15,'Product Reference'!A:B,2,FALSE),"Please manually enter"))</f>
        <v/>
      </c>
      <c r="M15" s="180"/>
      <c r="N15" s="180"/>
      <c r="O15" s="180"/>
      <c r="Q15" s="68"/>
      <c r="R15" s="91"/>
      <c r="S15" s="69"/>
      <c r="U15" s="72"/>
      <c r="X15" s="82" t="s">
        <v>3</v>
      </c>
      <c r="Y15" s="83"/>
      <c r="Z15" s="83"/>
      <c r="AA15" s="82" t="s">
        <v>4</v>
      </c>
      <c r="AB15" s="90"/>
      <c r="AC15" s="84"/>
      <c r="AE15" s="176"/>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row>
    <row r="16" spans="1:105" ht="11.45" customHeight="1" x14ac:dyDescent="0.3">
      <c r="A16" s="70"/>
      <c r="B16" s="196" t="s">
        <v>471</v>
      </c>
      <c r="C16" s="196"/>
      <c r="D16" s="196"/>
      <c r="E16" s="197"/>
      <c r="F16" s="70"/>
      <c r="H16" s="97" t="s">
        <v>14</v>
      </c>
      <c r="I16" s="195"/>
      <c r="J16" s="195"/>
      <c r="L16" s="180" t="str">
        <f>IF(Q16="","",IFERROR(VLOOKUP(Q16,'Product Reference'!A:B,2,FALSE),"Please manually enter"))</f>
        <v/>
      </c>
      <c r="M16" s="180"/>
      <c r="N16" s="180"/>
      <c r="O16" s="180"/>
      <c r="Q16" s="68"/>
      <c r="R16" s="91"/>
      <c r="S16" s="69"/>
      <c r="U16" s="72"/>
      <c r="X16" s="87" t="s">
        <v>15</v>
      </c>
      <c r="Y16" s="99">
        <f>'Input Processing'!D7</f>
        <v>0</v>
      </c>
      <c r="Z16" s="84"/>
      <c r="AA16" s="87" t="s">
        <v>15</v>
      </c>
      <c r="AB16" s="84"/>
      <c r="AC16" s="99" t="e">
        <f>VLOOKUP($L$4,'Lookup Table (Text to be added)'!$A$1:$K$5,3,FALSE)</f>
        <v>#N/A</v>
      </c>
      <c r="AE16" s="176"/>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row>
    <row r="17" spans="1:105" ht="11.45" customHeight="1" x14ac:dyDescent="0.3">
      <c r="A17" s="70"/>
      <c r="B17" s="196"/>
      <c r="C17" s="196"/>
      <c r="D17" s="196"/>
      <c r="E17" s="197"/>
      <c r="F17" s="70"/>
      <c r="H17" s="97" t="s">
        <v>16</v>
      </c>
      <c r="I17" s="195"/>
      <c r="J17" s="195"/>
      <c r="L17" s="180" t="str">
        <f>IF(Q17="","",IFERROR(VLOOKUP(Q17,'Product Reference'!A:B,2,FALSE),"Please manually enter"))</f>
        <v/>
      </c>
      <c r="M17" s="180"/>
      <c r="N17" s="180"/>
      <c r="O17" s="180"/>
      <c r="Q17" s="68"/>
      <c r="R17" s="91"/>
      <c r="S17" s="69"/>
      <c r="U17" s="72"/>
      <c r="X17" s="100" t="s">
        <v>17</v>
      </c>
      <c r="Y17" s="99">
        <f>'Input Processing'!D8</f>
        <v>0</v>
      </c>
      <c r="Z17" s="84"/>
      <c r="AA17" s="100" t="s">
        <v>17</v>
      </c>
      <c r="AB17" s="84"/>
      <c r="AC17" s="99" t="e">
        <f>VLOOKUP($L$4,'Lookup Table (Text to be added)'!$A$1:$K$5,4,FALSE)</f>
        <v>#N/A</v>
      </c>
      <c r="AE17" s="176"/>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row>
    <row r="18" spans="1:105" ht="11.45" customHeight="1" x14ac:dyDescent="0.3">
      <c r="A18" s="70"/>
      <c r="B18" s="196"/>
      <c r="C18" s="196"/>
      <c r="D18" s="196"/>
      <c r="E18" s="197"/>
      <c r="F18" s="70"/>
      <c r="H18" s="97" t="s">
        <v>18</v>
      </c>
      <c r="L18" s="180" t="str">
        <f>IF(Q18="","",IFERROR(VLOOKUP(Q18,'Product Reference'!A:B,2,FALSE),"Please manually enter"))</f>
        <v/>
      </c>
      <c r="M18" s="180"/>
      <c r="N18" s="180"/>
      <c r="O18" s="180"/>
      <c r="Q18" s="68"/>
      <c r="R18" s="91"/>
      <c r="S18" s="69"/>
      <c r="U18" s="72"/>
      <c r="X18" s="100" t="s">
        <v>19</v>
      </c>
      <c r="Y18" s="99">
        <f>'Input Processing'!D9</f>
        <v>0</v>
      </c>
      <c r="Z18" s="84"/>
      <c r="AA18" s="100" t="s">
        <v>19</v>
      </c>
      <c r="AB18" s="84"/>
      <c r="AC18" s="99" t="e">
        <f>VLOOKUP($L$4,'Lookup Table (Text to be added)'!$A$1:$K$5,5,FALSE)</f>
        <v>#N/A</v>
      </c>
      <c r="AE18" s="176"/>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row>
    <row r="19" spans="1:105" ht="11.45" customHeight="1" x14ac:dyDescent="0.2">
      <c r="A19" s="70"/>
      <c r="B19" s="196"/>
      <c r="C19" s="196"/>
      <c r="D19" s="196"/>
      <c r="E19" s="197"/>
      <c r="F19" s="70"/>
      <c r="H19" s="97"/>
      <c r="I19" s="200" t="s">
        <v>20</v>
      </c>
      <c r="J19" s="201"/>
      <c r="L19" s="180" t="str">
        <f>IF(Q19="","",IFERROR(VLOOKUP(Q19,'Product Reference'!A:B,2,FALSE),"Please manually enter"))</f>
        <v/>
      </c>
      <c r="M19" s="180"/>
      <c r="N19" s="180"/>
      <c r="O19" s="180"/>
      <c r="Q19" s="68"/>
      <c r="R19" s="91"/>
      <c r="S19" s="69"/>
      <c r="U19" s="72"/>
      <c r="AE19" s="176"/>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row>
    <row r="20" spans="1:105" ht="11.45" customHeight="1" x14ac:dyDescent="0.2">
      <c r="A20" s="70"/>
      <c r="B20" s="198"/>
      <c r="C20" s="198"/>
      <c r="D20" s="198"/>
      <c r="E20" s="199"/>
      <c r="F20" s="70"/>
      <c r="H20" s="97"/>
      <c r="I20" s="202"/>
      <c r="J20" s="201"/>
      <c r="L20" s="180" t="str">
        <f>IF(Q20="","",IFERROR(VLOOKUP(Q20,'Product Reference'!A:B,2,FALSE),"Please manually enter"))</f>
        <v/>
      </c>
      <c r="M20" s="180"/>
      <c r="N20" s="180"/>
      <c r="O20" s="180"/>
      <c r="Q20" s="68"/>
      <c r="R20" s="91"/>
      <c r="S20" s="69"/>
      <c r="U20" s="72"/>
      <c r="X20" s="96" t="s">
        <v>10</v>
      </c>
      <c r="Y20" s="181" t="str">
        <f>IFERROR(VLOOKUP(VLOOKUP(L4,'Lookup Table (Text to be added)'!A1:Z5,13,FALSE),'Lookup Table (Text to be added)'!A19:P23,16,FALSE),"")</f>
        <v/>
      </c>
      <c r="Z20" s="181"/>
      <c r="AA20" s="181"/>
      <c r="AB20" s="181"/>
      <c r="AC20" s="181"/>
      <c r="AE20" s="176"/>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row>
    <row r="21" spans="1:105" ht="11.45" customHeight="1" x14ac:dyDescent="0.2">
      <c r="A21" s="70"/>
      <c r="B21" s="70"/>
      <c r="C21" s="70"/>
      <c r="D21" s="70"/>
      <c r="E21" s="70"/>
      <c r="F21" s="70"/>
      <c r="H21" s="97"/>
      <c r="I21" s="203"/>
      <c r="J21" s="204"/>
      <c r="L21" s="180" t="str">
        <f>IF(Q21="","",IFERROR(VLOOKUP(Q21,'Product Reference'!A:B,2,FALSE),"Please manually enter"))</f>
        <v/>
      </c>
      <c r="M21" s="180"/>
      <c r="N21" s="180"/>
      <c r="O21" s="180"/>
      <c r="Q21" s="68"/>
      <c r="R21" s="91"/>
      <c r="S21" s="69"/>
      <c r="U21" s="72"/>
      <c r="AE21" s="176"/>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row>
    <row r="22" spans="1:105" ht="11.45" customHeight="1" x14ac:dyDescent="0.25">
      <c r="A22" s="70"/>
      <c r="B22" s="70"/>
      <c r="C22" s="70"/>
      <c r="D22" s="70"/>
      <c r="E22" s="70"/>
      <c r="F22" s="70"/>
      <c r="H22" s="97"/>
      <c r="L22" s="180" t="str">
        <f>IF(Q22="","",IFERROR(VLOOKUP(Q22,'Product Reference'!A:B,2,FALSE),"Please manually enter"))</f>
        <v/>
      </c>
      <c r="M22" s="180"/>
      <c r="N22" s="180"/>
      <c r="O22" s="180"/>
      <c r="Q22" s="68"/>
      <c r="R22" s="91"/>
      <c r="S22" s="69"/>
      <c r="U22" s="72"/>
      <c r="W22" s="75">
        <v>3</v>
      </c>
      <c r="X22" s="75" t="s">
        <v>21</v>
      </c>
      <c r="AE22" s="176"/>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row>
    <row r="23" spans="1:105" ht="11.45" customHeight="1" x14ac:dyDescent="0.2">
      <c r="A23" s="70"/>
      <c r="B23" s="70"/>
      <c r="C23" s="70"/>
      <c r="D23" s="70"/>
      <c r="E23" s="70"/>
      <c r="F23" s="70"/>
      <c r="H23" s="97"/>
      <c r="L23" s="180" t="str">
        <f>IF(Q23="","",IFERROR(VLOOKUP(Q23,'Product Reference'!A:B,2,FALSE),"Please manually enter"))</f>
        <v/>
      </c>
      <c r="M23" s="180"/>
      <c r="N23" s="180"/>
      <c r="O23" s="180"/>
      <c r="Q23" s="68"/>
      <c r="R23" s="91"/>
      <c r="S23" s="69"/>
      <c r="U23" s="72"/>
      <c r="AE23" s="176"/>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row>
    <row r="24" spans="1:105" ht="11.45" customHeight="1" x14ac:dyDescent="0.3">
      <c r="A24" s="70"/>
      <c r="B24" s="101"/>
      <c r="C24" s="101"/>
      <c r="D24" s="101"/>
      <c r="E24" s="101"/>
      <c r="F24" s="101"/>
      <c r="G24" s="101"/>
      <c r="H24" s="102"/>
      <c r="I24" s="101"/>
      <c r="J24" s="101"/>
      <c r="L24" s="180" t="str">
        <f>IF(Q24="","",IFERROR(VLOOKUP(Q24,'Product Reference'!A:B,2,FALSE),"Please manually enter"))</f>
        <v/>
      </c>
      <c r="M24" s="180"/>
      <c r="N24" s="180"/>
      <c r="O24" s="180"/>
      <c r="Q24" s="68"/>
      <c r="R24" s="91"/>
      <c r="S24" s="69"/>
      <c r="U24" s="72"/>
      <c r="X24" s="82" t="s">
        <v>3</v>
      </c>
      <c r="Y24" s="83"/>
      <c r="Z24" s="83"/>
      <c r="AA24" s="82" t="s">
        <v>4</v>
      </c>
      <c r="AB24" s="84"/>
      <c r="AC24" s="84"/>
      <c r="AE24" s="176"/>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row>
    <row r="25" spans="1:105" ht="11.45" customHeight="1" x14ac:dyDescent="0.3">
      <c r="A25" s="70"/>
      <c r="B25" s="101"/>
      <c r="C25" s="215" t="s">
        <v>287</v>
      </c>
      <c r="D25" s="215"/>
      <c r="E25" s="215"/>
      <c r="F25" s="215"/>
      <c r="G25" s="215"/>
      <c r="H25" s="215"/>
      <c r="I25" s="215"/>
      <c r="J25" s="101"/>
      <c r="L25" s="180" t="str">
        <f>IF(Q25="","",IFERROR(VLOOKUP(Q25,'Product Reference'!A:B,2,FALSE),"Please manually enter"))</f>
        <v/>
      </c>
      <c r="M25" s="180"/>
      <c r="N25" s="180"/>
      <c r="O25" s="180"/>
      <c r="Q25" s="68"/>
      <c r="R25" s="91"/>
      <c r="S25" s="69"/>
      <c r="U25" s="72"/>
      <c r="X25" s="100" t="s">
        <v>22</v>
      </c>
      <c r="Y25" s="99">
        <f>'Input Processing'!D12</f>
        <v>0</v>
      </c>
      <c r="Z25" s="84"/>
      <c r="AA25" s="100" t="s">
        <v>22</v>
      </c>
      <c r="AB25" s="84"/>
      <c r="AC25" s="99" t="e">
        <f>VLOOKUP($L$4,'Lookup Table (Text to be added)'!$A$1:$K$5,6,FALSE)</f>
        <v>#N/A</v>
      </c>
      <c r="AE25" s="176"/>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row>
    <row r="26" spans="1:105" ht="11.45" customHeight="1" x14ac:dyDescent="0.3">
      <c r="A26" s="70"/>
      <c r="B26" s="103"/>
      <c r="C26" s="215"/>
      <c r="D26" s="215"/>
      <c r="E26" s="215"/>
      <c r="F26" s="215"/>
      <c r="G26" s="215"/>
      <c r="H26" s="215"/>
      <c r="I26" s="215"/>
      <c r="J26" s="101"/>
      <c r="L26" s="180" t="str">
        <f>IF(Q26="","",IFERROR(VLOOKUP(Q26,'Product Reference'!A:B,2,FALSE),"Please manually enter"))</f>
        <v/>
      </c>
      <c r="M26" s="180"/>
      <c r="N26" s="180"/>
      <c r="O26" s="180"/>
      <c r="Q26" s="68"/>
      <c r="R26" s="91"/>
      <c r="S26" s="69"/>
      <c r="U26" s="72"/>
      <c r="X26" s="100" t="s">
        <v>23</v>
      </c>
      <c r="Y26" s="99">
        <f>'Input Processing'!D13</f>
        <v>0</v>
      </c>
      <c r="Z26" s="84"/>
      <c r="AA26" s="100" t="s">
        <v>23</v>
      </c>
      <c r="AB26" s="84"/>
      <c r="AC26" s="99" t="e">
        <f>VLOOKUP($L$4,'Lookup Table (Text to be added)'!$A$1:$K$5,7,FALSE)</f>
        <v>#N/A</v>
      </c>
      <c r="AE26" s="176"/>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row>
    <row r="27" spans="1:105" ht="11.45" customHeight="1" x14ac:dyDescent="0.3">
      <c r="A27" s="70"/>
      <c r="B27" s="103"/>
      <c r="C27" s="215"/>
      <c r="D27" s="215"/>
      <c r="E27" s="215"/>
      <c r="F27" s="215"/>
      <c r="G27" s="215"/>
      <c r="H27" s="215"/>
      <c r="I27" s="215"/>
      <c r="J27" s="101"/>
      <c r="L27" s="180" t="str">
        <f>IF(Q27="","",IFERROR(VLOOKUP(Q27,'Product Reference'!A:B,2,FALSE),"Please manually enter"))</f>
        <v/>
      </c>
      <c r="M27" s="180"/>
      <c r="N27" s="180"/>
      <c r="O27" s="180"/>
      <c r="Q27" s="68"/>
      <c r="R27" s="91"/>
      <c r="S27" s="69"/>
      <c r="U27" s="72"/>
      <c r="X27" s="87" t="s">
        <v>24</v>
      </c>
      <c r="Y27" s="99">
        <f>'Input Processing'!D14</f>
        <v>0</v>
      </c>
      <c r="Z27" s="84"/>
      <c r="AA27" s="87" t="s">
        <v>24</v>
      </c>
      <c r="AB27" s="84"/>
      <c r="AC27" s="99" t="e">
        <f>VLOOKUP($L$4,'Lookup Table (Text to be added)'!$A$1:$K$5,8,FALSE)</f>
        <v>#N/A</v>
      </c>
      <c r="AE27" s="176"/>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row>
    <row r="28" spans="1:105" ht="11.45" customHeight="1" x14ac:dyDescent="0.3">
      <c r="A28" s="70"/>
      <c r="B28" s="177"/>
      <c r="C28" s="104"/>
      <c r="D28" s="105"/>
      <c r="E28" s="104"/>
      <c r="F28" s="104"/>
      <c r="G28" s="104"/>
      <c r="H28" s="104"/>
      <c r="I28" s="104"/>
      <c r="J28" s="101"/>
      <c r="L28" s="180" t="str">
        <f>IF(Q28="","",IFERROR(VLOOKUP(Q28,'Product Reference'!A:B,2,FALSE),"Please manually enter"))</f>
        <v/>
      </c>
      <c r="M28" s="180"/>
      <c r="N28" s="180"/>
      <c r="O28" s="180"/>
      <c r="Q28" s="68"/>
      <c r="R28" s="91"/>
      <c r="S28" s="69"/>
      <c r="U28" s="72"/>
      <c r="X28" s="100" t="s">
        <v>25</v>
      </c>
      <c r="Y28" s="99">
        <f>'Input Processing'!D15</f>
        <v>0</v>
      </c>
      <c r="Z28" s="84"/>
      <c r="AA28" s="100" t="s">
        <v>25</v>
      </c>
      <c r="AB28" s="84"/>
      <c r="AC28" s="99" t="e">
        <f>VLOOKUP($L$4,'Lookup Table (Text to be added)'!$A$1:$K$5,9,FALSE)</f>
        <v>#N/A</v>
      </c>
      <c r="AE28" s="176"/>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row>
    <row r="29" spans="1:105" ht="11.45" customHeight="1" x14ac:dyDescent="0.3">
      <c r="A29" s="70"/>
      <c r="B29" s="177"/>
      <c r="C29" s="178" t="s">
        <v>118</v>
      </c>
      <c r="D29" s="207" t="e">
        <f>VLOOKUP(L4,'Lookup Table (Text to be added)'!A1:Z5,20,FALSE)</f>
        <v>#N/A</v>
      </c>
      <c r="E29" s="207"/>
      <c r="F29" s="207"/>
      <c r="G29" s="207"/>
      <c r="H29" s="207"/>
      <c r="I29" s="208"/>
      <c r="J29" s="104"/>
      <c r="L29" s="180" t="str">
        <f>IF(Q29="","",IFERROR(VLOOKUP(Q29,'Product Reference'!A:B,2,FALSE),"Please manually enter"))</f>
        <v/>
      </c>
      <c r="M29" s="180"/>
      <c r="N29" s="180"/>
      <c r="O29" s="180"/>
      <c r="Q29" s="68"/>
      <c r="R29" s="91"/>
      <c r="S29" s="69"/>
      <c r="U29" s="72"/>
      <c r="X29" s="100" t="s">
        <v>26</v>
      </c>
      <c r="Y29" s="99">
        <f>'Input Processing'!D16</f>
        <v>0</v>
      </c>
      <c r="Z29" s="84"/>
      <c r="AA29" s="100" t="s">
        <v>26</v>
      </c>
      <c r="AB29" s="84"/>
      <c r="AC29" s="99" t="e">
        <f>VLOOKUP($L$4,'Lookup Table (Text to be added)'!$A$1:$K$5,10,FALSE)</f>
        <v>#N/A</v>
      </c>
      <c r="AE29" s="176"/>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row>
    <row r="30" spans="1:105" ht="11.45" customHeight="1" x14ac:dyDescent="0.3">
      <c r="A30" s="70"/>
      <c r="B30" s="177"/>
      <c r="C30" s="178"/>
      <c r="D30" s="209"/>
      <c r="E30" s="209"/>
      <c r="F30" s="209"/>
      <c r="G30" s="209"/>
      <c r="H30" s="209"/>
      <c r="I30" s="210"/>
      <c r="J30" s="101"/>
      <c r="L30" s="180" t="str">
        <f>IF(Q30="","",IFERROR(VLOOKUP(Q30,'Product Reference'!A:B,2,FALSE),"Please manually enter"))</f>
        <v/>
      </c>
      <c r="M30" s="180"/>
      <c r="N30" s="180"/>
      <c r="O30" s="180"/>
      <c r="Q30" s="68"/>
      <c r="R30" s="91"/>
      <c r="S30" s="69"/>
      <c r="U30" s="72"/>
      <c r="X30" s="100" t="s">
        <v>27</v>
      </c>
      <c r="Y30" s="99">
        <f>'Input Processing'!D17</f>
        <v>0</v>
      </c>
      <c r="Z30" s="84"/>
      <c r="AA30" s="100" t="s">
        <v>27</v>
      </c>
      <c r="AB30" s="84"/>
      <c r="AC30" s="99" t="e">
        <f>VLOOKUP($L$4,'Lookup Table (Text to be added)'!$A$1:$K$5,11,FALSE)</f>
        <v>#N/A</v>
      </c>
      <c r="AE30" s="176"/>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row>
    <row r="31" spans="1:105" ht="11.45" customHeight="1" x14ac:dyDescent="0.2">
      <c r="A31" s="70"/>
      <c r="B31" s="177"/>
      <c r="C31" s="106"/>
      <c r="D31" s="107" t="s">
        <v>135</v>
      </c>
      <c r="E31" s="108" t="e">
        <f>VLOOKUP(L4,'Lookup Table (Text to be added)'!A1:Z5,21,FALSE)</f>
        <v>#N/A</v>
      </c>
      <c r="F31" s="108"/>
      <c r="G31" s="108"/>
      <c r="H31" s="108"/>
      <c r="I31" s="109"/>
      <c r="J31" s="110"/>
      <c r="L31" s="180" t="str">
        <f>IF(Q31="","",IFERROR(VLOOKUP(Q31,'Product Reference'!A:B,2,FALSE),"Please manually enter"))</f>
        <v/>
      </c>
      <c r="M31" s="180"/>
      <c r="N31" s="180"/>
      <c r="O31" s="180"/>
      <c r="Q31" s="68"/>
      <c r="R31" s="91"/>
      <c r="S31" s="69"/>
      <c r="U31" s="72"/>
      <c r="AE31" s="176"/>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row>
    <row r="32" spans="1:105" ht="11.45" customHeight="1" x14ac:dyDescent="0.2">
      <c r="A32" s="70"/>
      <c r="B32" s="177"/>
      <c r="C32" s="111"/>
      <c r="D32" s="101"/>
      <c r="E32" s="101"/>
      <c r="F32" s="101"/>
      <c r="G32" s="101"/>
      <c r="H32" s="101"/>
      <c r="I32" s="101"/>
      <c r="J32" s="101"/>
      <c r="L32" s="180" t="str">
        <f>IF(Q32="","",IFERROR(VLOOKUP(Q32,'Product Reference'!A:B,2,FALSE),"Please manually enter"))</f>
        <v/>
      </c>
      <c r="M32" s="180"/>
      <c r="N32" s="180"/>
      <c r="O32" s="180"/>
      <c r="Q32" s="68"/>
      <c r="R32" s="91"/>
      <c r="S32" s="69"/>
      <c r="U32" s="72"/>
      <c r="X32" s="96" t="s">
        <v>10</v>
      </c>
      <c r="Y32" s="181" t="e">
        <f>VLOOKUP(L4,'Lookup Table (Text to be added)'!A1:Z5,14,FALSE)</f>
        <v>#N/A</v>
      </c>
      <c r="Z32" s="181"/>
      <c r="AA32" s="181"/>
      <c r="AB32" s="181"/>
      <c r="AC32" s="181"/>
      <c r="AE32" s="176"/>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row>
    <row r="33" spans="1:105" ht="11.45" customHeight="1" x14ac:dyDescent="0.2">
      <c r="A33" s="70"/>
      <c r="B33" s="177"/>
      <c r="C33" s="111"/>
      <c r="D33" s="101"/>
      <c r="E33" s="101"/>
      <c r="F33" s="101"/>
      <c r="G33" s="101"/>
      <c r="H33" s="101"/>
      <c r="I33" s="101"/>
      <c r="J33" s="101"/>
      <c r="L33" s="180" t="str">
        <f>IF(Q33="","",IFERROR(VLOOKUP(Q33,'Product Reference'!A:B,2,FALSE),"Please manually enter"))</f>
        <v/>
      </c>
      <c r="M33" s="180"/>
      <c r="N33" s="180"/>
      <c r="O33" s="180"/>
      <c r="Q33" s="68"/>
      <c r="R33" s="91"/>
      <c r="S33" s="69"/>
      <c r="U33" s="72"/>
      <c r="AE33" s="176"/>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row>
    <row r="34" spans="1:105" ht="11.45" customHeight="1" x14ac:dyDescent="0.25">
      <c r="A34" s="70"/>
      <c r="B34" s="177"/>
      <c r="C34" s="206" t="s">
        <v>119</v>
      </c>
      <c r="D34" s="211" t="e">
        <f>VLOOKUP(L4,'Lookup Table (Text to be added)'!A1:Z5,22,FALSE)</f>
        <v>#N/A</v>
      </c>
      <c r="E34" s="211"/>
      <c r="F34" s="211"/>
      <c r="G34" s="211"/>
      <c r="H34" s="211"/>
      <c r="I34" s="212"/>
      <c r="J34" s="101"/>
      <c r="L34" s="180" t="str">
        <f>IF(Q34="","",IFERROR(VLOOKUP(Q34,'Product Reference'!A:B,2,FALSE),"Please manually enter"))</f>
        <v/>
      </c>
      <c r="M34" s="180"/>
      <c r="N34" s="180"/>
      <c r="O34" s="180"/>
      <c r="Q34" s="68"/>
      <c r="R34" s="91"/>
      <c r="S34" s="69"/>
      <c r="U34" s="72"/>
      <c r="W34" s="75">
        <v>4</v>
      </c>
      <c r="X34" s="75" t="s">
        <v>29</v>
      </c>
      <c r="AA34" s="112"/>
      <c r="AB34" s="179" t="e">
        <f>VLOOKUP(L4,'Lookup Table (Text to be added)'!A1:Z5,19,FALSE)</f>
        <v>#N/A</v>
      </c>
      <c r="AC34" s="179"/>
      <c r="AE34" s="176"/>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row>
    <row r="35" spans="1:105" ht="11.45" customHeight="1" x14ac:dyDescent="0.25">
      <c r="A35" s="70"/>
      <c r="B35" s="113"/>
      <c r="C35" s="206"/>
      <c r="D35" s="213"/>
      <c r="E35" s="213"/>
      <c r="F35" s="213"/>
      <c r="G35" s="213"/>
      <c r="H35" s="213"/>
      <c r="I35" s="214"/>
      <c r="J35" s="101"/>
      <c r="L35" s="180" t="str">
        <f>IF(Q35="","",IFERROR(VLOOKUP(Q35,'Product Reference'!A:B,2,FALSE),"Please manually enter"))</f>
        <v/>
      </c>
      <c r="M35" s="180"/>
      <c r="N35" s="180"/>
      <c r="O35" s="180"/>
      <c r="Q35" s="68"/>
      <c r="R35" s="91"/>
      <c r="S35" s="69"/>
      <c r="U35" s="72"/>
      <c r="Z35" s="114"/>
      <c r="AA35" s="112"/>
      <c r="AB35" s="179"/>
      <c r="AC35" s="179"/>
      <c r="AE35" s="176"/>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row>
    <row r="36" spans="1:105" ht="11.45" customHeight="1" x14ac:dyDescent="0.2">
      <c r="A36" s="70"/>
      <c r="B36" s="113"/>
      <c r="C36" s="115"/>
      <c r="D36" s="116" t="s">
        <v>135</v>
      </c>
      <c r="E36" s="117" t="e">
        <f>IF(IF(OR(VLOOKUP(L4,'Lookup Table (Text to be added)'!A1:Z5,23,FALSE)=E43,VLOOKUP(L4,'Lookup Table (Text to be added)'!A1:Z5,23,FALSE)="None"),IF(OR(VLOOKUP(L4,'Lookup Table (Text to be added)'!A1:Z5,16,FALSE)=VLOOKUP(L4,'Lookup Table (Text to be added)'!A1:Z5,23,FALSE),VLOOKUP(L4,'Lookup Table (Text to be added)'!A1:Z5,16,FALSE)="None"),IF(OR(VLOOKUP(L4,'Lookup Table (Text to be added)'!A1:Z5,18,FALSE)=VLOOKUP(L4,'Lookup Table (Text to be added)'!A1:Z5,16,FALSE),VLOOKUP(L4,'Lookup Table (Text to be added)'!A1:Z5,18,FALSE)="None"),"None",VLOOKUP(L4,'Lookup Table (Text to be added)'!A1:Z5,18,FALSE)),VLOOKUP(L4,'Lookup Table (Text to be added)'!A1:Z5,16,FALSE)),VLOOKUP(L4,'Lookup Table (Text to be added)'!A1:Z5,23,FALSE))=D34,"None",IF(OR(VLOOKUP(L4,'Lookup Table (Text to be added)'!A1:Z5,23,FALSE)=E43,VLOOKUP(L4,'Lookup Table (Text to be added)'!A1:Z5,23,FALSE)="None"),IF(OR(VLOOKUP(L4,'Lookup Table (Text to be added)'!A1:Z5,16,FALSE)=VLOOKUP(L4,'Lookup Table (Text to be added)'!A1:Z5,23,FALSE),VLOOKUP(L4,'Lookup Table (Text to be added)'!A1:Z5,16,FALSE)="None"),IF(OR(VLOOKUP(L4,'Lookup Table (Text to be added)'!A1:Z5,18,FALSE)=VLOOKUP(L4,'Lookup Table (Text to be added)'!A1:Z5,16,FALSE),VLOOKUP(L4,'Lookup Table (Text to be added)'!A1:Z5,18,FALSE)="None"),"None",VLOOKUP(L4,'Lookup Table (Text to be added)'!A1:Z5,18,FALSE)),VLOOKUP(L4,'Lookup Table (Text to be added)'!A1:Z5,16,FALSE)),VLOOKUP(L4,'Lookup Table (Text to be added)'!A1:Z5,23,FALSE)))</f>
        <v>#N/A</v>
      </c>
      <c r="F36" s="117"/>
      <c r="G36" s="117"/>
      <c r="H36" s="117"/>
      <c r="I36" s="118"/>
      <c r="J36" s="110"/>
      <c r="L36" s="180" t="str">
        <f>IF(Q36="","",IFERROR(VLOOKUP(Q36,'Product Reference'!A:B,2,FALSE),"Please manually enter"))</f>
        <v/>
      </c>
      <c r="M36" s="180"/>
      <c r="N36" s="180"/>
      <c r="O36" s="180"/>
      <c r="Q36" s="68"/>
      <c r="R36" s="91"/>
      <c r="S36" s="69"/>
      <c r="U36" s="72"/>
      <c r="X36" s="205" t="e">
        <f>IF(AB34&lt;0.5,'Lookup Table (Text to be added)'!P9,IF(AND(AB34&gt;=0.5,AB34&lt;0.8),'Lookup Table (Text to be added)'!P10,IF(AB34&gt;=0.8,'Lookup Table (Text to be added)'!P11,"")))</f>
        <v>#N/A</v>
      </c>
      <c r="Y36" s="205"/>
      <c r="Z36" s="205"/>
      <c r="AA36" s="112"/>
      <c r="AB36" s="179"/>
      <c r="AC36" s="179"/>
      <c r="AE36" s="176"/>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row>
    <row r="37" spans="1:105" ht="11.45" customHeight="1" x14ac:dyDescent="0.2">
      <c r="A37" s="70"/>
      <c r="B37" s="113"/>
      <c r="C37" s="101"/>
      <c r="D37" s="101"/>
      <c r="E37" s="101"/>
      <c r="F37" s="101"/>
      <c r="G37" s="101"/>
      <c r="H37" s="101"/>
      <c r="I37" s="101"/>
      <c r="J37" s="101"/>
      <c r="L37" s="180" t="str">
        <f>IF(Q37="","",IFERROR(VLOOKUP(Q37,'Product Reference'!A:B,2,FALSE),"Please manually enter"))</f>
        <v/>
      </c>
      <c r="M37" s="180"/>
      <c r="N37" s="180"/>
      <c r="O37" s="180"/>
      <c r="Q37" s="68"/>
      <c r="R37" s="91"/>
      <c r="S37" s="69"/>
      <c r="U37" s="72"/>
      <c r="X37" s="205"/>
      <c r="Y37" s="205"/>
      <c r="Z37" s="205"/>
      <c r="AA37" s="112"/>
      <c r="AB37" s="179"/>
      <c r="AC37" s="179"/>
      <c r="AE37" s="176"/>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row>
    <row r="38" spans="1:105" ht="11.45" customHeight="1" x14ac:dyDescent="0.2">
      <c r="A38" s="70"/>
      <c r="B38" s="113"/>
      <c r="C38" s="101"/>
      <c r="D38" s="101"/>
      <c r="E38" s="101"/>
      <c r="F38" s="101"/>
      <c r="G38" s="101"/>
      <c r="H38" s="101"/>
      <c r="I38" s="101"/>
      <c r="J38" s="101"/>
      <c r="U38" s="72"/>
      <c r="X38" s="205"/>
      <c r="Y38" s="205"/>
      <c r="Z38" s="205"/>
      <c r="AA38" s="112"/>
      <c r="AB38" s="112"/>
      <c r="AC38" s="112"/>
      <c r="AE38" s="176"/>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row>
    <row r="39" spans="1:105" ht="11.45" customHeight="1" x14ac:dyDescent="0.2">
      <c r="A39" s="70"/>
      <c r="B39" s="70"/>
      <c r="C39" s="70"/>
      <c r="D39" s="70"/>
      <c r="E39" s="70"/>
      <c r="F39" s="70"/>
      <c r="U39" s="72"/>
      <c r="AE39" s="176"/>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row>
    <row r="40" spans="1:105" ht="11.45" customHeight="1" x14ac:dyDescent="0.2">
      <c r="A40" s="70"/>
      <c r="B40" s="70"/>
      <c r="C40" s="70"/>
      <c r="D40" s="70"/>
      <c r="E40" s="70"/>
      <c r="F40" s="70"/>
      <c r="U40" s="72"/>
      <c r="AE40" s="176"/>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row>
    <row r="41" spans="1:105" s="119" customFormat="1" ht="11.45" customHeight="1" x14ac:dyDescent="0.2">
      <c r="Q41" s="120"/>
      <c r="R41" s="120"/>
      <c r="S41" s="120"/>
      <c r="U41" s="72"/>
    </row>
    <row r="42" spans="1:105" s="119" customFormat="1" ht="11.45" customHeight="1" thickBot="1" x14ac:dyDescent="0.25">
      <c r="Q42" s="120"/>
      <c r="R42" s="120"/>
      <c r="S42" s="120"/>
      <c r="U42" s="72"/>
    </row>
    <row r="43" spans="1:105" s="119" customFormat="1" ht="18.75" customHeight="1" thickBot="1" x14ac:dyDescent="0.25">
      <c r="B43" s="230" t="s">
        <v>492</v>
      </c>
      <c r="C43" s="230"/>
      <c r="D43" s="230"/>
      <c r="E43" s="231" t="s">
        <v>493</v>
      </c>
      <c r="F43" s="232"/>
      <c r="G43" s="232"/>
      <c r="H43" s="233"/>
      <c r="Q43" s="120"/>
      <c r="R43" s="120"/>
      <c r="S43" s="120"/>
      <c r="U43" s="72"/>
    </row>
    <row r="44" spans="1:105" s="119" customFormat="1" ht="11.45" customHeight="1" x14ac:dyDescent="0.2">
      <c r="Q44" s="120"/>
      <c r="R44" s="120"/>
      <c r="S44" s="120"/>
      <c r="U44" s="72"/>
    </row>
    <row r="45" spans="1:105" s="119" customFormat="1" ht="11.45" customHeight="1" x14ac:dyDescent="0.2">
      <c r="Q45" s="120"/>
      <c r="R45" s="120"/>
      <c r="S45" s="120"/>
      <c r="U45" s="72"/>
    </row>
    <row r="46" spans="1:105" s="119" customFormat="1" ht="11.45" customHeight="1" x14ac:dyDescent="0.2">
      <c r="Q46" s="120"/>
      <c r="R46" s="120"/>
      <c r="S46" s="120"/>
      <c r="U46" s="72"/>
    </row>
    <row r="47" spans="1:105" s="119" customFormat="1" ht="11.45" customHeight="1" x14ac:dyDescent="0.2">
      <c r="Q47" s="120"/>
      <c r="R47" s="120"/>
      <c r="S47" s="120"/>
      <c r="U47" s="72"/>
    </row>
    <row r="48" spans="1:105" s="119" customFormat="1" ht="11.45" customHeight="1" x14ac:dyDescent="0.2">
      <c r="Q48" s="120"/>
      <c r="R48" s="120"/>
      <c r="S48" s="120"/>
      <c r="U48" s="72"/>
    </row>
    <row r="49" spans="17:21" s="119" customFormat="1" ht="11.45" customHeight="1" x14ac:dyDescent="0.2">
      <c r="Q49" s="120"/>
      <c r="R49" s="120"/>
      <c r="S49" s="120"/>
      <c r="U49" s="72"/>
    </row>
    <row r="50" spans="17:21" s="119" customFormat="1" ht="11.45" customHeight="1" x14ac:dyDescent="0.2">
      <c r="Q50" s="120"/>
      <c r="R50" s="120"/>
      <c r="S50" s="120"/>
      <c r="U50" s="72"/>
    </row>
    <row r="51" spans="17:21" s="119" customFormat="1" ht="102" customHeight="1" x14ac:dyDescent="0.2">
      <c r="Q51" s="120"/>
      <c r="R51" s="120"/>
      <c r="S51" s="120"/>
      <c r="U51" s="72"/>
    </row>
    <row r="52" spans="17:21" s="119" customFormat="1" ht="102" customHeight="1" x14ac:dyDescent="0.2">
      <c r="Q52" s="120"/>
      <c r="R52" s="120"/>
      <c r="S52" s="120"/>
      <c r="U52" s="72"/>
    </row>
    <row r="53" spans="17:21" s="119" customFormat="1" ht="102" customHeight="1" x14ac:dyDescent="0.2">
      <c r="Q53" s="120"/>
      <c r="R53" s="120"/>
      <c r="S53" s="120"/>
      <c r="U53" s="72"/>
    </row>
    <row r="54" spans="17:21" s="119" customFormat="1" ht="11.45" customHeight="1" x14ac:dyDescent="0.2">
      <c r="Q54" s="120"/>
      <c r="R54" s="120"/>
      <c r="S54" s="120"/>
      <c r="U54" s="72"/>
    </row>
    <row r="55" spans="17:21" s="119" customFormat="1" ht="11.45" customHeight="1" x14ac:dyDescent="0.2">
      <c r="Q55" s="120"/>
      <c r="R55" s="120"/>
      <c r="S55" s="120"/>
      <c r="U55" s="72"/>
    </row>
    <row r="56" spans="17:21" s="119" customFormat="1" ht="11.45" customHeight="1" x14ac:dyDescent="0.2">
      <c r="Q56" s="120"/>
      <c r="R56" s="120"/>
      <c r="S56" s="120"/>
      <c r="U56" s="72"/>
    </row>
    <row r="57" spans="17:21" s="119" customFormat="1" ht="11.45" customHeight="1" x14ac:dyDescent="0.2">
      <c r="Q57" s="120"/>
      <c r="R57" s="120"/>
      <c r="S57" s="120"/>
      <c r="U57" s="72"/>
    </row>
    <row r="58" spans="17:21" s="119" customFormat="1" ht="11.45" customHeight="1" x14ac:dyDescent="0.2">
      <c r="Q58" s="120"/>
      <c r="R58" s="120"/>
      <c r="S58" s="120"/>
      <c r="U58" s="72"/>
    </row>
    <row r="76" spans="2:17" ht="11.45" customHeight="1" x14ac:dyDescent="0.2">
      <c r="Q76" s="127"/>
    </row>
    <row r="77" spans="2:17" ht="11.45" customHeight="1" x14ac:dyDescent="0.2">
      <c r="Q77" s="71" t="s">
        <v>313</v>
      </c>
    </row>
    <row r="79" spans="2:17" ht="11.45" customHeight="1" x14ac:dyDescent="0.2">
      <c r="B79" s="101"/>
      <c r="C79" s="101"/>
      <c r="D79" s="101"/>
      <c r="E79" s="101"/>
      <c r="F79" s="101"/>
      <c r="G79" s="101"/>
      <c r="H79" s="102"/>
      <c r="I79" s="101"/>
      <c r="J79" s="101"/>
    </row>
    <row r="80" spans="2:17" ht="11.45" customHeight="1" x14ac:dyDescent="0.2">
      <c r="B80" s="101"/>
      <c r="C80" s="184" t="s">
        <v>287</v>
      </c>
      <c r="D80" s="184"/>
      <c r="E80" s="184"/>
      <c r="F80" s="184"/>
      <c r="G80" s="184"/>
      <c r="H80" s="184"/>
      <c r="I80" s="184"/>
      <c r="J80" s="101"/>
    </row>
    <row r="81" spans="2:10" ht="11.45" customHeight="1" x14ac:dyDescent="0.2">
      <c r="B81" s="101"/>
      <c r="C81" s="184"/>
      <c r="D81" s="184"/>
      <c r="E81" s="184"/>
      <c r="F81" s="184"/>
      <c r="G81" s="184"/>
      <c r="H81" s="184"/>
      <c r="I81" s="184"/>
      <c r="J81" s="101"/>
    </row>
    <row r="82" spans="2:10" ht="11.45" customHeight="1" x14ac:dyDescent="0.2">
      <c r="B82" s="101"/>
      <c r="C82" s="184"/>
      <c r="D82" s="184"/>
      <c r="E82" s="184"/>
      <c r="F82" s="184"/>
      <c r="G82" s="184"/>
      <c r="H82" s="184"/>
      <c r="I82" s="184"/>
      <c r="J82" s="101"/>
    </row>
    <row r="83" spans="2:10" ht="11.45" customHeight="1" x14ac:dyDescent="0.3">
      <c r="B83" s="177" t="s">
        <v>136</v>
      </c>
      <c r="C83" s="104"/>
      <c r="D83" s="104"/>
      <c r="E83" s="104"/>
      <c r="F83" s="104"/>
      <c r="G83" s="104"/>
      <c r="H83" s="104"/>
      <c r="I83" s="104"/>
      <c r="J83" s="101"/>
    </row>
    <row r="84" spans="2:10" ht="11.45" customHeight="1" x14ac:dyDescent="0.3">
      <c r="B84" s="177"/>
      <c r="C84" s="185" t="s">
        <v>28</v>
      </c>
      <c r="D84" s="123">
        <v>1</v>
      </c>
      <c r="E84" s="186" t="e">
        <f>VLOOKUP(L4,'Lookup Table (Text to be added)'!A1:Z5,15,FALSE)</f>
        <v>#N/A</v>
      </c>
      <c r="F84" s="186"/>
      <c r="G84" s="186"/>
      <c r="H84" s="186"/>
      <c r="I84" s="187"/>
      <c r="J84" s="104" t="s">
        <v>135</v>
      </c>
    </row>
    <row r="85" spans="2:10" ht="11.45" customHeight="1" x14ac:dyDescent="0.25">
      <c r="B85" s="177"/>
      <c r="C85" s="185"/>
      <c r="D85" s="123">
        <v>2</v>
      </c>
      <c r="E85" s="188" t="e">
        <f>VLOOKUP(L4,'Lookup Table (Text to be added)'!A1:Z5,17,FALSE)</f>
        <v>#N/A</v>
      </c>
      <c r="F85" s="188"/>
      <c r="G85" s="188"/>
      <c r="H85" s="188"/>
      <c r="I85" s="189"/>
      <c r="J85" s="101"/>
    </row>
    <row r="86" spans="2:10" ht="11.45" customHeight="1" x14ac:dyDescent="0.2">
      <c r="B86" s="177"/>
      <c r="C86" s="106"/>
      <c r="D86" s="124"/>
      <c r="E86" s="101"/>
      <c r="F86" s="101"/>
      <c r="G86" s="101"/>
      <c r="H86" s="101"/>
      <c r="I86" s="102"/>
      <c r="J86" s="110"/>
    </row>
    <row r="87" spans="2:10" ht="11.45" customHeight="1" x14ac:dyDescent="0.25">
      <c r="B87" s="177"/>
      <c r="C87" s="190" t="s">
        <v>30</v>
      </c>
      <c r="D87" s="123">
        <v>1</v>
      </c>
      <c r="E87" s="191" t="e">
        <f>VLOOKUP(L4,'Lookup Table (Text to be added)'!A1:Z5,16,FALSE)</f>
        <v>#N/A</v>
      </c>
      <c r="F87" s="191"/>
      <c r="G87" s="191"/>
      <c r="H87" s="191"/>
      <c r="I87" s="192"/>
      <c r="J87" s="101" t="s">
        <v>135</v>
      </c>
    </row>
    <row r="88" spans="2:10" ht="11.45" customHeight="1" x14ac:dyDescent="0.25">
      <c r="B88" s="177"/>
      <c r="C88" s="190"/>
      <c r="D88" s="123">
        <v>2</v>
      </c>
      <c r="E88" s="193" t="e">
        <f>VLOOKUP(L4,'Lookup Table (Text to be added)'!A1:Z5,18,FALSE)</f>
        <v>#N/A</v>
      </c>
      <c r="F88" s="193"/>
      <c r="G88" s="193"/>
      <c r="H88" s="193"/>
      <c r="I88" s="194"/>
      <c r="J88" s="101"/>
    </row>
    <row r="89" spans="2:10" ht="11.45" customHeight="1" x14ac:dyDescent="0.25">
      <c r="B89" s="177"/>
      <c r="C89" s="125"/>
      <c r="D89" s="123"/>
      <c r="E89" s="123"/>
      <c r="F89" s="123"/>
      <c r="G89" s="123"/>
      <c r="H89" s="123"/>
      <c r="I89" s="123"/>
      <c r="J89" s="101"/>
    </row>
    <row r="90" spans="2:10" ht="11.45" customHeight="1" x14ac:dyDescent="0.25">
      <c r="B90" s="113"/>
      <c r="C90" s="125"/>
      <c r="D90" s="123"/>
      <c r="E90" s="123"/>
      <c r="F90" s="123"/>
      <c r="G90" s="123"/>
      <c r="H90" s="123"/>
      <c r="I90" s="123"/>
      <c r="J90" s="101"/>
    </row>
  </sheetData>
  <sheetProtection algorithmName="SHA-512" hashValue="p56xR9myjj+c4uDNFi44vgXNcwz3LyIaiuIf5UFTRsbw+UKwhwVqUxBy0/rNp7EaKZwgxug2hfoxYS7o3hUMSw==" saltValue="PwkfSPGIv63TyZ6MFM50Gg==" spinCount="100000" sheet="1" objects="1" scenarios="1" selectLockedCells="1"/>
  <dataConsolidate/>
  <mergeCells count="57">
    <mergeCell ref="B43:D43"/>
    <mergeCell ref="E43:H43"/>
    <mergeCell ref="X36:Z38"/>
    <mergeCell ref="C34:C35"/>
    <mergeCell ref="D29:I30"/>
    <mergeCell ref="D34:I35"/>
    <mergeCell ref="C25:I27"/>
    <mergeCell ref="I11:J17"/>
    <mergeCell ref="B16:E20"/>
    <mergeCell ref="L16:O16"/>
    <mergeCell ref="L17:O17"/>
    <mergeCell ref="L18:O18"/>
    <mergeCell ref="I19:J21"/>
    <mergeCell ref="L19:O19"/>
    <mergeCell ref="L20:O20"/>
    <mergeCell ref="Y20:AC20"/>
    <mergeCell ref="L21:O21"/>
    <mergeCell ref="C80:I82"/>
    <mergeCell ref="B83:B89"/>
    <mergeCell ref="C84:C85"/>
    <mergeCell ref="E84:I84"/>
    <mergeCell ref="E85:I85"/>
    <mergeCell ref="C87:C88"/>
    <mergeCell ref="E87:I87"/>
    <mergeCell ref="E88:I88"/>
    <mergeCell ref="L22:O22"/>
    <mergeCell ref="L25:O25"/>
    <mergeCell ref="L26:O26"/>
    <mergeCell ref="L27:O27"/>
    <mergeCell ref="L28:O28"/>
    <mergeCell ref="L23:O23"/>
    <mergeCell ref="L4:O4"/>
    <mergeCell ref="L8:O8"/>
    <mergeCell ref="L9:O9"/>
    <mergeCell ref="L10:O10"/>
    <mergeCell ref="L11:O11"/>
    <mergeCell ref="Y11:AC11"/>
    <mergeCell ref="L12:O12"/>
    <mergeCell ref="L13:O13"/>
    <mergeCell ref="L14:O14"/>
    <mergeCell ref="L15:O15"/>
    <mergeCell ref="AE1:AE40"/>
    <mergeCell ref="B28:B34"/>
    <mergeCell ref="C29:C30"/>
    <mergeCell ref="AB34:AC37"/>
    <mergeCell ref="L33:O33"/>
    <mergeCell ref="L34:O34"/>
    <mergeCell ref="L35:O35"/>
    <mergeCell ref="L36:O36"/>
    <mergeCell ref="L37:O37"/>
    <mergeCell ref="L29:O29"/>
    <mergeCell ref="L30:O30"/>
    <mergeCell ref="L31:O31"/>
    <mergeCell ref="L32:O32"/>
    <mergeCell ref="Y32:AC32"/>
    <mergeCell ref="L24:O24"/>
    <mergeCell ref="L6:O6"/>
  </mergeCells>
  <conditionalFormatting sqref="AB34">
    <cfRule type="cellIs" dxfId="24" priority="1" operator="greaterThan">
      <formula>0.8</formula>
    </cfRule>
    <cfRule type="cellIs" dxfId="23" priority="2" operator="between">
      <formula>0.499999999999999</formula>
      <formula>0.799999999999999</formula>
    </cfRule>
    <cfRule type="cellIs" dxfId="22" priority="3" operator="lessThan">
      <formula>0.499999999999999</formula>
    </cfRule>
  </conditionalFormatting>
  <dataValidations count="1">
    <dataValidation type="list" allowBlank="1" showInputMessage="1" showErrorMessage="1" sqref="S8:S37">
      <formula1>$Q$76:$Q$77</formula1>
    </dataValidation>
  </dataValidations>
  <hyperlinks>
    <hyperlink ref="I19:J21" location="'Range Recommendation'!A1" display="View full Recommendations"/>
    <hyperlink ref="E43:H43" r:id="rId1" display="Watch the video"/>
  </hyperlinks>
  <pageMargins left="0.7" right="0.7" top="0.75" bottom="0.75" header="0.3" footer="0.3"/>
  <pageSetup paperSize="218"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 Table (Text to be added)'!$A$2:$A$5</xm:f>
          </x14:formula1>
          <xm:sqref>L4:O4</xm:sqref>
        </x14:dataValidation>
        <x14:dataValidation type="list" allowBlank="1" showInputMessage="1" showErrorMessage="1">
          <x14:formula1>
            <xm:f>'Product Reference'!$B$2:$B$136</xm:f>
          </x14:formula1>
          <xm:sqref>L8:O37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Q75"/>
  <sheetViews>
    <sheetView workbookViewId="0">
      <selection activeCell="T17" sqref="T17"/>
    </sheetView>
  </sheetViews>
  <sheetFormatPr defaultRowHeight="15" x14ac:dyDescent="0.25"/>
  <cols>
    <col min="1" max="1" width="3.42578125" customWidth="1"/>
    <col min="19" max="19" width="13.7109375" customWidth="1"/>
    <col min="21" max="21" width="13.28515625" customWidth="1"/>
    <col min="24" max="24" width="9.140625" customWidth="1"/>
    <col min="26" max="26" width="9.140625" customWidth="1"/>
  </cols>
  <sheetData>
    <row r="2" spans="2:30" x14ac:dyDescent="0.25">
      <c r="B2" s="15" t="s">
        <v>18</v>
      </c>
      <c r="C2" s="7"/>
      <c r="D2" s="7"/>
      <c r="E2" s="7"/>
      <c r="F2" s="7"/>
      <c r="G2" s="7"/>
      <c r="H2" s="7"/>
      <c r="I2" s="7"/>
      <c r="J2" s="7"/>
    </row>
    <row r="3" spans="2:30" x14ac:dyDescent="0.25">
      <c r="B3" s="7"/>
      <c r="C3" s="7"/>
      <c r="D3" s="7"/>
      <c r="E3" s="7"/>
      <c r="F3" s="7"/>
      <c r="G3" s="7"/>
      <c r="H3" s="7"/>
      <c r="I3" s="7"/>
      <c r="J3" s="7"/>
    </row>
    <row r="4" spans="2:30" ht="15.75" thickBot="1" x14ac:dyDescent="0.3">
      <c r="B4" s="10" t="s">
        <v>4</v>
      </c>
      <c r="C4" s="7"/>
      <c r="D4" s="7"/>
      <c r="E4" s="7"/>
      <c r="F4" s="7"/>
      <c r="G4" s="7"/>
      <c r="H4" s="7"/>
      <c r="I4" s="7"/>
      <c r="J4" s="7"/>
    </row>
    <row r="5" spans="2:30" ht="15.75" thickBot="1" x14ac:dyDescent="0.3">
      <c r="B5" s="6" t="s">
        <v>54</v>
      </c>
      <c r="C5" s="7"/>
      <c r="D5" s="7"/>
      <c r="E5" s="7"/>
      <c r="F5" s="229" t="s">
        <v>60</v>
      </c>
      <c r="G5" s="7" t="s">
        <v>38</v>
      </c>
      <c r="H5" s="7"/>
      <c r="I5" s="7"/>
      <c r="J5" s="11">
        <f>O28</f>
        <v>0</v>
      </c>
      <c r="N5" t="s">
        <v>63</v>
      </c>
      <c r="O5" s="60">
        <f>'Range Check'!L6</f>
        <v>0</v>
      </c>
      <c r="V5">
        <v>0.20448145238749532</v>
      </c>
    </row>
    <row r="6" spans="2:30" ht="15.75" thickBot="1" x14ac:dyDescent="0.3">
      <c r="B6" s="7" t="s">
        <v>57</v>
      </c>
      <c r="C6" s="7"/>
      <c r="D6" s="11">
        <f>O11</f>
        <v>11</v>
      </c>
      <c r="E6" s="7"/>
      <c r="F6" s="229"/>
      <c r="G6" s="7" t="s">
        <v>49</v>
      </c>
      <c r="H6" s="7"/>
      <c r="I6" s="7"/>
      <c r="J6" s="11">
        <f t="shared" ref="J6:J22" si="0">O29</f>
        <v>1</v>
      </c>
    </row>
    <row r="7" spans="2:30" ht="15.75" thickBot="1" x14ac:dyDescent="0.3">
      <c r="B7" s="7"/>
      <c r="C7" s="7"/>
      <c r="D7" s="7"/>
      <c r="E7" s="7"/>
      <c r="F7" s="229"/>
      <c r="G7" s="7" t="s">
        <v>52</v>
      </c>
      <c r="H7" s="7"/>
      <c r="I7" s="7"/>
      <c r="J7" s="11">
        <f t="shared" si="0"/>
        <v>0</v>
      </c>
    </row>
    <row r="8" spans="2:30" ht="15.75" thickBot="1" x14ac:dyDescent="0.3">
      <c r="B8" s="6" t="s">
        <v>55</v>
      </c>
      <c r="C8" s="7"/>
      <c r="D8" s="7"/>
      <c r="E8" s="7"/>
      <c r="F8" s="229"/>
      <c r="G8" s="7" t="s">
        <v>51</v>
      </c>
      <c r="H8" s="7"/>
      <c r="I8" s="7"/>
      <c r="J8" s="11">
        <f t="shared" si="0"/>
        <v>0</v>
      </c>
    </row>
    <row r="9" spans="2:30" ht="15.75" thickBot="1" x14ac:dyDescent="0.3">
      <c r="B9" s="7" t="s">
        <v>15</v>
      </c>
      <c r="C9" s="7"/>
      <c r="D9" s="11">
        <f>O14</f>
        <v>2</v>
      </c>
      <c r="E9" s="7"/>
      <c r="F9" s="229"/>
      <c r="G9" s="7" t="s">
        <v>50</v>
      </c>
      <c r="H9" s="7"/>
      <c r="I9" s="7"/>
      <c r="J9" s="11">
        <f t="shared" si="0"/>
        <v>0</v>
      </c>
    </row>
    <row r="10" spans="2:30" ht="15.75" thickBot="1" x14ac:dyDescent="0.3">
      <c r="B10" s="7" t="s">
        <v>17</v>
      </c>
      <c r="C10" s="7"/>
      <c r="D10" s="11">
        <f>O15</f>
        <v>4</v>
      </c>
      <c r="E10" s="7"/>
      <c r="F10" s="229"/>
      <c r="G10" s="7" t="s">
        <v>46</v>
      </c>
      <c r="H10" s="7"/>
      <c r="I10" s="7"/>
      <c r="J10" s="11">
        <f t="shared" si="0"/>
        <v>1</v>
      </c>
      <c r="M10" s="6" t="s">
        <v>54</v>
      </c>
      <c r="N10" s="7"/>
      <c r="O10" s="7"/>
    </row>
    <row r="11" spans="2:30" ht="15.75" thickBot="1" x14ac:dyDescent="0.3">
      <c r="B11" s="7" t="s">
        <v>19</v>
      </c>
      <c r="C11" s="7"/>
      <c r="D11" s="11">
        <f>O16</f>
        <v>5</v>
      </c>
      <c r="E11" s="7"/>
      <c r="F11" s="7"/>
      <c r="G11" s="7" t="s">
        <v>40</v>
      </c>
      <c r="H11" s="7"/>
      <c r="I11" s="7"/>
      <c r="J11" s="11">
        <f t="shared" si="0"/>
        <v>2</v>
      </c>
      <c r="M11" s="7" t="s">
        <v>57</v>
      </c>
      <c r="N11" s="7"/>
      <c r="O11">
        <f>IF(ROUND(O5*V5,0)&lt;11,11,ROUND(O5*V5,0))</f>
        <v>11</v>
      </c>
    </row>
    <row r="12" spans="2:30" ht="15.75" thickBot="1" x14ac:dyDescent="0.3">
      <c r="B12" s="7"/>
      <c r="C12" s="7"/>
      <c r="D12" s="7"/>
      <c r="E12" s="7"/>
      <c r="F12" s="7"/>
      <c r="G12" s="7" t="s">
        <v>41</v>
      </c>
      <c r="H12" s="7"/>
      <c r="I12" s="7"/>
      <c r="J12" s="11">
        <f t="shared" si="0"/>
        <v>1</v>
      </c>
      <c r="M12" s="7"/>
      <c r="N12" s="7"/>
      <c r="O12" s="7"/>
    </row>
    <row r="13" spans="2:30" ht="15.75" thickBot="1" x14ac:dyDescent="0.3">
      <c r="B13" s="6" t="s">
        <v>56</v>
      </c>
      <c r="C13" s="7"/>
      <c r="D13" s="7"/>
      <c r="E13" s="7"/>
      <c r="F13" s="7"/>
      <c r="G13" s="7" t="s">
        <v>48</v>
      </c>
      <c r="H13" s="7"/>
      <c r="I13" s="7"/>
      <c r="J13" s="11">
        <f t="shared" si="0"/>
        <v>0</v>
      </c>
      <c r="M13" s="6" t="s">
        <v>55</v>
      </c>
      <c r="N13" s="7"/>
      <c r="O13" s="7"/>
      <c r="W13" s="12"/>
    </row>
    <row r="14" spans="2:30" ht="15.75" thickBot="1" x14ac:dyDescent="0.3">
      <c r="B14" s="7" t="s">
        <v>22</v>
      </c>
      <c r="C14" s="7"/>
      <c r="D14" s="11">
        <f t="shared" ref="D14:D19" si="1">O19</f>
        <v>3</v>
      </c>
      <c r="E14" s="7"/>
      <c r="F14" s="7"/>
      <c r="G14" s="7" t="s">
        <v>47</v>
      </c>
      <c r="H14" s="7"/>
      <c r="I14" s="7"/>
      <c r="J14" s="11">
        <f t="shared" si="0"/>
        <v>0</v>
      </c>
      <c r="M14" s="7" t="s">
        <v>15</v>
      </c>
      <c r="N14" s="7"/>
      <c r="O14" s="7">
        <f>IF(SUM($P$14:$P$16)&gt;$O$11,IF(T14=MAX($T$14:$T$16),P14-1,P14),P14)</f>
        <v>2</v>
      </c>
      <c r="P14">
        <f>ROUND(IF(ROUND($O$11*0.1,1)&lt;2,2,2+((ROUND($O$11*0.1,1))-2)),0)</f>
        <v>2</v>
      </c>
      <c r="R14">
        <v>0.1</v>
      </c>
      <c r="T14" s="128">
        <f>(IF(($O$11*0.1)&lt;2,2,(2+($O$11*0.1)-2)))-2</f>
        <v>0</v>
      </c>
      <c r="W14" s="12"/>
    </row>
    <row r="15" spans="2:30" ht="15.75" thickBot="1" x14ac:dyDescent="0.3">
      <c r="B15" s="7" t="s">
        <v>23</v>
      </c>
      <c r="C15" s="7"/>
      <c r="D15" s="11">
        <f t="shared" si="1"/>
        <v>3</v>
      </c>
      <c r="E15" s="7"/>
      <c r="F15" s="7"/>
      <c r="G15" s="7" t="s">
        <v>39</v>
      </c>
      <c r="H15" s="7"/>
      <c r="I15" s="7"/>
      <c r="J15" s="11">
        <f t="shared" si="0"/>
        <v>0</v>
      </c>
      <c r="M15" s="7" t="s">
        <v>17</v>
      </c>
      <c r="N15" s="7"/>
      <c r="O15" s="7">
        <f>IF(SUM($P$14:$P$16)&gt;$O$11,IF(T15=MAX($T$14:$T$16),P15-1,P15),P15)</f>
        <v>4</v>
      </c>
      <c r="P15">
        <f>ROUND(IF(ROUND($O$11*0.41,1)&lt;4,4,4+((ROUND($O$11*0.41,1))-4)),0)</f>
        <v>5</v>
      </c>
      <c r="R15">
        <v>0.41</v>
      </c>
      <c r="T15" s="128">
        <f>(IF(($O$11*0.41)&lt;4,4,(4+($O$11*0.41)-4)))-4</f>
        <v>0.50999999999999979</v>
      </c>
      <c r="W15" s="12"/>
      <c r="AC15" s="1"/>
      <c r="AD15" s="1"/>
    </row>
    <row r="16" spans="2:30" ht="15.75" thickBot="1" x14ac:dyDescent="0.3">
      <c r="B16" s="7" t="s">
        <v>24</v>
      </c>
      <c r="C16" s="7"/>
      <c r="D16" s="11">
        <f t="shared" si="1"/>
        <v>0</v>
      </c>
      <c r="E16" s="7"/>
      <c r="F16" s="7"/>
      <c r="G16" s="7" t="s">
        <v>37</v>
      </c>
      <c r="H16" s="7"/>
      <c r="I16" s="7"/>
      <c r="J16" s="11">
        <f t="shared" si="0"/>
        <v>1</v>
      </c>
      <c r="M16" s="7" t="s">
        <v>19</v>
      </c>
      <c r="N16" s="7"/>
      <c r="O16" s="7">
        <f>IF(SUM($P$14:$P$16)&gt;$O$11,IF(T16=MAX($T$14:$T$16),P16-1,P16),P16)</f>
        <v>5</v>
      </c>
      <c r="P16">
        <f>ROUND(IF(ROUND($O$11*0.49,1)&lt;5,5,5+((ROUND($O$11*0.49,1))-5)),0)</f>
        <v>5</v>
      </c>
      <c r="R16">
        <v>0.49</v>
      </c>
      <c r="T16" s="128">
        <f>(IF(($O$11*0.49)&lt;5,5,(5+($O$11*0.49)-5)))-5</f>
        <v>0.39000000000000057</v>
      </c>
      <c r="W16" s="61"/>
      <c r="AC16" s="1"/>
      <c r="AD16" s="1"/>
    </row>
    <row r="17" spans="2:30" ht="15.75" thickBot="1" x14ac:dyDescent="0.3">
      <c r="B17" s="7" t="s">
        <v>25</v>
      </c>
      <c r="C17" s="7"/>
      <c r="D17" s="11">
        <f t="shared" si="1"/>
        <v>1</v>
      </c>
      <c r="E17" s="7"/>
      <c r="F17" s="7"/>
      <c r="G17" s="7" t="s">
        <v>36</v>
      </c>
      <c r="H17" s="7"/>
      <c r="I17" s="7"/>
      <c r="J17" s="11">
        <f t="shared" si="0"/>
        <v>1</v>
      </c>
      <c r="M17" s="7"/>
      <c r="N17" s="7"/>
      <c r="O17" s="7"/>
      <c r="AC17" s="1"/>
      <c r="AD17" s="1"/>
    </row>
    <row r="18" spans="2:30" ht="15.75" thickBot="1" x14ac:dyDescent="0.3">
      <c r="B18" s="7" t="s">
        <v>26</v>
      </c>
      <c r="C18" s="7"/>
      <c r="D18" s="11">
        <f t="shared" si="1"/>
        <v>1</v>
      </c>
      <c r="E18" s="7"/>
      <c r="F18" s="7"/>
      <c r="G18" s="7" t="s">
        <v>43</v>
      </c>
      <c r="H18" s="7"/>
      <c r="I18" s="7"/>
      <c r="J18" s="11">
        <f t="shared" si="0"/>
        <v>1</v>
      </c>
      <c r="M18" s="6" t="s">
        <v>56</v>
      </c>
      <c r="N18" s="7"/>
      <c r="O18" s="7"/>
      <c r="AC18" s="1"/>
      <c r="AD18" s="1"/>
    </row>
    <row r="19" spans="2:30" ht="15.75" thickBot="1" x14ac:dyDescent="0.3">
      <c r="B19" s="7" t="s">
        <v>27</v>
      </c>
      <c r="C19" s="7"/>
      <c r="D19" s="11">
        <f t="shared" si="1"/>
        <v>3</v>
      </c>
      <c r="E19" s="7"/>
      <c r="F19" s="7"/>
      <c r="G19" s="7" t="s">
        <v>44</v>
      </c>
      <c r="H19" s="7"/>
      <c r="I19" s="7"/>
      <c r="J19" s="11">
        <f t="shared" si="0"/>
        <v>0</v>
      </c>
      <c r="M19" s="7" t="s">
        <v>22</v>
      </c>
      <c r="N19" s="7"/>
      <c r="O19" s="1">
        <f t="shared" ref="O19:O24" si="2">IF($V$22=($V$23+2),IF(T19=MAX($T$19:$T$24),T19-2,T19),IF($V$22=$V$23,T19,IF($V$22&lt;$V$23,IF(S19=LARGE($S$19:$S$24,2),T19+1,T19),IF($V$22&gt;$V$23,IF(T19=MAX($T$19:$T$24),T19-1,T19),IF($V$22=$V$23,T19,IF($V$22&lt;$V$23,IF(S19=LARGE($S$19:$S$24,2),T19+1,T19),"S"))))))</f>
        <v>3</v>
      </c>
      <c r="Q19">
        <v>3</v>
      </c>
      <c r="R19">
        <v>0.40631063865688011</v>
      </c>
      <c r="S19">
        <f t="shared" ref="S19:S24" si="3">($O$11-11)*R19-ROUNDDOWN(($O$11-11)*R19,0)</f>
        <v>0</v>
      </c>
      <c r="T19">
        <f t="shared" ref="T19:T24" si="4">IF(($O$11-11)*R19-ROUNDDOWN(($O$11-11)*R19,0)&gt;0.49,1,0)+ROUNDDOWN(($O$11-11)*R19,0)+Q19</f>
        <v>3</v>
      </c>
      <c r="AC19" s="1"/>
      <c r="AD19" s="1"/>
    </row>
    <row r="20" spans="2:30" ht="15.75" thickBot="1" x14ac:dyDescent="0.3">
      <c r="B20" s="7"/>
      <c r="C20" s="7"/>
      <c r="D20" s="7"/>
      <c r="E20" s="7"/>
      <c r="F20" s="7"/>
      <c r="G20" s="7" t="s">
        <v>45</v>
      </c>
      <c r="H20" s="7"/>
      <c r="I20" s="7"/>
      <c r="J20" s="11">
        <f t="shared" si="0"/>
        <v>1</v>
      </c>
      <c r="M20" s="7" t="s">
        <v>23</v>
      </c>
      <c r="N20" s="7"/>
      <c r="O20" s="1">
        <f t="shared" si="2"/>
        <v>3</v>
      </c>
      <c r="Q20">
        <v>3</v>
      </c>
      <c r="R20">
        <v>0.18552265249303976</v>
      </c>
      <c r="S20">
        <f t="shared" si="3"/>
        <v>0</v>
      </c>
      <c r="T20">
        <f t="shared" si="4"/>
        <v>3</v>
      </c>
      <c r="AC20" s="1"/>
      <c r="AD20" s="1"/>
    </row>
    <row r="21" spans="2:30" ht="15.75" thickBot="1" x14ac:dyDescent="0.3">
      <c r="B21" s="7"/>
      <c r="C21" s="7"/>
      <c r="D21" s="7"/>
      <c r="E21" s="7"/>
      <c r="F21" s="12"/>
      <c r="G21" s="12" t="s">
        <v>35</v>
      </c>
      <c r="H21" s="12"/>
      <c r="I21" s="7"/>
      <c r="J21" s="11">
        <f t="shared" si="0"/>
        <v>1</v>
      </c>
      <c r="M21" s="7" t="s">
        <v>24</v>
      </c>
      <c r="N21" s="7"/>
      <c r="O21" s="1">
        <f t="shared" si="2"/>
        <v>0</v>
      </c>
      <c r="Q21">
        <v>0</v>
      </c>
      <c r="R21">
        <v>3.2481228381000586E-2</v>
      </c>
      <c r="S21">
        <f t="shared" si="3"/>
        <v>0</v>
      </c>
      <c r="T21">
        <f t="shared" si="4"/>
        <v>0</v>
      </c>
      <c r="AC21" s="1"/>
      <c r="AD21" s="1"/>
    </row>
    <row r="22" spans="2:30" ht="15.75" thickBot="1" x14ac:dyDescent="0.3">
      <c r="B22" s="7"/>
      <c r="C22" s="7"/>
      <c r="D22" s="7"/>
      <c r="E22" s="7"/>
      <c r="F22" s="7"/>
      <c r="G22" s="7" t="s">
        <v>42</v>
      </c>
      <c r="H22" s="7"/>
      <c r="I22" s="7"/>
      <c r="J22" s="11">
        <f t="shared" si="0"/>
        <v>1</v>
      </c>
      <c r="M22" s="7" t="s">
        <v>25</v>
      </c>
      <c r="N22" s="7"/>
      <c r="O22" s="1">
        <f t="shared" si="2"/>
        <v>1</v>
      </c>
      <c r="Q22">
        <v>1</v>
      </c>
      <c r="R22">
        <v>8.301695773221969E-2</v>
      </c>
      <c r="S22">
        <f t="shared" si="3"/>
        <v>0</v>
      </c>
      <c r="T22">
        <f t="shared" si="4"/>
        <v>1</v>
      </c>
      <c r="V22">
        <f>SUM(T19:T24)</f>
        <v>11</v>
      </c>
      <c r="AC22" s="1"/>
      <c r="AD22" s="1"/>
    </row>
    <row r="23" spans="2:30" x14ac:dyDescent="0.25">
      <c r="B23" s="9"/>
      <c r="C23" s="9"/>
      <c r="D23" s="9"/>
      <c r="E23" s="9"/>
      <c r="F23" s="9"/>
      <c r="G23" s="9"/>
      <c r="H23" s="9"/>
      <c r="I23" s="9"/>
      <c r="J23" s="9"/>
      <c r="M23" s="7" t="s">
        <v>26</v>
      </c>
      <c r="N23" s="7"/>
      <c r="O23" s="1">
        <f t="shared" si="2"/>
        <v>1</v>
      </c>
      <c r="Q23">
        <v>1</v>
      </c>
      <c r="R23">
        <v>7.1374335611237669E-2</v>
      </c>
      <c r="S23">
        <f t="shared" si="3"/>
        <v>0</v>
      </c>
      <c r="T23">
        <f t="shared" si="4"/>
        <v>1</v>
      </c>
      <c r="V23">
        <f>O11</f>
        <v>11</v>
      </c>
      <c r="AC23" s="1"/>
      <c r="AD23" s="1"/>
    </row>
    <row r="24" spans="2:30" x14ac:dyDescent="0.25">
      <c r="M24" s="7" t="s">
        <v>27</v>
      </c>
      <c r="N24" s="7"/>
      <c r="O24" s="1">
        <f t="shared" si="2"/>
        <v>3</v>
      </c>
      <c r="Q24">
        <v>3</v>
      </c>
      <c r="R24">
        <v>0.22129418712562221</v>
      </c>
      <c r="S24">
        <f t="shared" si="3"/>
        <v>0</v>
      </c>
      <c r="T24">
        <f t="shared" si="4"/>
        <v>3</v>
      </c>
      <c r="AC24" s="1"/>
      <c r="AD24" s="1"/>
    </row>
    <row r="25" spans="2:30" x14ac:dyDescent="0.25">
      <c r="M25" s="7"/>
      <c r="N25" s="7"/>
      <c r="O25" s="7"/>
      <c r="AC25" s="1"/>
      <c r="AD25" s="1"/>
    </row>
    <row r="26" spans="2:30" x14ac:dyDescent="0.25">
      <c r="AC26" s="1"/>
      <c r="AD26" s="1"/>
    </row>
    <row r="27" spans="2:30" ht="15.75" thickBot="1" x14ac:dyDescent="0.3"/>
    <row r="28" spans="2:30" ht="15.75" thickBot="1" x14ac:dyDescent="0.3">
      <c r="M28" s="7" t="s">
        <v>38</v>
      </c>
      <c r="N28" s="7"/>
      <c r="O28" s="7">
        <f>P28+Q28</f>
        <v>0</v>
      </c>
      <c r="P28" s="11">
        <v>0</v>
      </c>
      <c r="Q28">
        <f>COUNTIF($75:$75,M28)</f>
        <v>0</v>
      </c>
    </row>
    <row r="29" spans="2:30" ht="15.75" thickBot="1" x14ac:dyDescent="0.3">
      <c r="M29" s="7" t="s">
        <v>49</v>
      </c>
      <c r="N29" s="7"/>
      <c r="O29" s="7">
        <f t="shared" ref="O29:O45" si="5">P29+Q29</f>
        <v>1</v>
      </c>
      <c r="P29" s="11">
        <v>1</v>
      </c>
      <c r="Q29">
        <f t="shared" ref="Q29:Q45" si="6">COUNTIF($75:$75,M29)</f>
        <v>0</v>
      </c>
    </row>
    <row r="30" spans="2:30" ht="15.75" thickBot="1" x14ac:dyDescent="0.3">
      <c r="M30" s="7" t="s">
        <v>52</v>
      </c>
      <c r="N30" s="7"/>
      <c r="O30" s="7">
        <f t="shared" si="5"/>
        <v>0</v>
      </c>
      <c r="P30" s="11">
        <v>0</v>
      </c>
      <c r="Q30">
        <f t="shared" si="6"/>
        <v>0</v>
      </c>
    </row>
    <row r="31" spans="2:30" ht="15.75" thickBot="1" x14ac:dyDescent="0.3">
      <c r="M31" s="7" t="s">
        <v>51</v>
      </c>
      <c r="N31" s="7"/>
      <c r="O31" s="7">
        <f t="shared" si="5"/>
        <v>0</v>
      </c>
      <c r="P31" s="11">
        <v>0</v>
      </c>
      <c r="Q31">
        <f t="shared" si="6"/>
        <v>0</v>
      </c>
    </row>
    <row r="32" spans="2:30" ht="15.75" thickBot="1" x14ac:dyDescent="0.3">
      <c r="M32" s="7" t="s">
        <v>50</v>
      </c>
      <c r="N32" s="7"/>
      <c r="O32" s="7">
        <f t="shared" si="5"/>
        <v>0</v>
      </c>
      <c r="P32" s="11">
        <v>0</v>
      </c>
      <c r="Q32">
        <f t="shared" si="6"/>
        <v>0</v>
      </c>
    </row>
    <row r="33" spans="13:17" ht="15.75" thickBot="1" x14ac:dyDescent="0.3">
      <c r="M33" s="7" t="s">
        <v>46</v>
      </c>
      <c r="N33" s="7"/>
      <c r="O33" s="7">
        <f t="shared" si="5"/>
        <v>1</v>
      </c>
      <c r="P33" s="11">
        <v>1</v>
      </c>
      <c r="Q33">
        <f t="shared" si="6"/>
        <v>0</v>
      </c>
    </row>
    <row r="34" spans="13:17" ht="15.75" thickBot="1" x14ac:dyDescent="0.3">
      <c r="M34" s="7" t="s">
        <v>40</v>
      </c>
      <c r="N34" s="7"/>
      <c r="O34" s="7">
        <f t="shared" si="5"/>
        <v>2</v>
      </c>
      <c r="P34" s="11">
        <v>2</v>
      </c>
      <c r="Q34">
        <f t="shared" si="6"/>
        <v>0</v>
      </c>
    </row>
    <row r="35" spans="13:17" ht="15.75" thickBot="1" x14ac:dyDescent="0.3">
      <c r="M35" s="7" t="s">
        <v>41</v>
      </c>
      <c r="N35" s="7"/>
      <c r="O35" s="7">
        <f t="shared" si="5"/>
        <v>1</v>
      </c>
      <c r="P35" s="11">
        <v>1</v>
      </c>
      <c r="Q35">
        <f t="shared" si="6"/>
        <v>0</v>
      </c>
    </row>
    <row r="36" spans="13:17" ht="15.75" thickBot="1" x14ac:dyDescent="0.3">
      <c r="M36" s="7" t="s">
        <v>48</v>
      </c>
      <c r="N36" s="7"/>
      <c r="O36" s="7">
        <f t="shared" si="5"/>
        <v>0</v>
      </c>
      <c r="P36" s="11">
        <v>0</v>
      </c>
      <c r="Q36">
        <f t="shared" si="6"/>
        <v>0</v>
      </c>
    </row>
    <row r="37" spans="13:17" ht="15.75" thickBot="1" x14ac:dyDescent="0.3">
      <c r="M37" s="7" t="s">
        <v>47</v>
      </c>
      <c r="N37" s="7"/>
      <c r="O37" s="7">
        <f t="shared" si="5"/>
        <v>0</v>
      </c>
      <c r="P37" s="11">
        <v>0</v>
      </c>
      <c r="Q37">
        <f t="shared" si="6"/>
        <v>0</v>
      </c>
    </row>
    <row r="38" spans="13:17" ht="15.75" thickBot="1" x14ac:dyDescent="0.3">
      <c r="M38" s="7" t="s">
        <v>39</v>
      </c>
      <c r="N38" s="7"/>
      <c r="O38" s="7">
        <f t="shared" si="5"/>
        <v>0</v>
      </c>
      <c r="P38" s="11">
        <v>0</v>
      </c>
      <c r="Q38">
        <f t="shared" si="6"/>
        <v>0</v>
      </c>
    </row>
    <row r="39" spans="13:17" ht="15.75" thickBot="1" x14ac:dyDescent="0.3">
      <c r="M39" s="7" t="s">
        <v>37</v>
      </c>
      <c r="N39" s="7"/>
      <c r="O39" s="7">
        <f t="shared" si="5"/>
        <v>1</v>
      </c>
      <c r="P39" s="11">
        <v>1</v>
      </c>
      <c r="Q39">
        <f t="shared" si="6"/>
        <v>0</v>
      </c>
    </row>
    <row r="40" spans="13:17" ht="15.75" thickBot="1" x14ac:dyDescent="0.3">
      <c r="M40" s="7" t="s">
        <v>36</v>
      </c>
      <c r="N40" s="7"/>
      <c r="O40" s="7">
        <f t="shared" si="5"/>
        <v>1</v>
      </c>
      <c r="P40" s="11">
        <v>1</v>
      </c>
      <c r="Q40">
        <f t="shared" si="6"/>
        <v>0</v>
      </c>
    </row>
    <row r="41" spans="13:17" ht="15.75" thickBot="1" x14ac:dyDescent="0.3">
      <c r="M41" s="7" t="s">
        <v>43</v>
      </c>
      <c r="N41" s="7"/>
      <c r="O41" s="7">
        <f t="shared" si="5"/>
        <v>1</v>
      </c>
      <c r="P41" s="11">
        <v>1</v>
      </c>
      <c r="Q41">
        <f t="shared" si="6"/>
        <v>0</v>
      </c>
    </row>
    <row r="42" spans="13:17" ht="15.75" thickBot="1" x14ac:dyDescent="0.3">
      <c r="M42" s="7" t="s">
        <v>44</v>
      </c>
      <c r="N42" s="7"/>
      <c r="O42" s="7">
        <f t="shared" si="5"/>
        <v>0</v>
      </c>
      <c r="P42" s="11">
        <v>0</v>
      </c>
      <c r="Q42">
        <f t="shared" si="6"/>
        <v>0</v>
      </c>
    </row>
    <row r="43" spans="13:17" ht="15.75" thickBot="1" x14ac:dyDescent="0.3">
      <c r="M43" s="7" t="s">
        <v>45</v>
      </c>
      <c r="N43" s="7"/>
      <c r="O43" s="7">
        <f t="shared" si="5"/>
        <v>1</v>
      </c>
      <c r="P43" s="11">
        <v>1</v>
      </c>
      <c r="Q43">
        <f t="shared" si="6"/>
        <v>0</v>
      </c>
    </row>
    <row r="44" spans="13:17" ht="15.75" thickBot="1" x14ac:dyDescent="0.3">
      <c r="M44" s="12" t="s">
        <v>35</v>
      </c>
      <c r="N44" s="12"/>
      <c r="O44" s="7">
        <f t="shared" si="5"/>
        <v>1</v>
      </c>
      <c r="P44" s="11">
        <v>1</v>
      </c>
      <c r="Q44">
        <f t="shared" si="6"/>
        <v>0</v>
      </c>
    </row>
    <row r="45" spans="13:17" ht="15.75" thickBot="1" x14ac:dyDescent="0.3">
      <c r="M45" s="7" t="s">
        <v>42</v>
      </c>
      <c r="N45" s="7"/>
      <c r="O45" s="7">
        <f t="shared" si="5"/>
        <v>1</v>
      </c>
      <c r="P45" s="11">
        <v>1</v>
      </c>
      <c r="Q45">
        <f t="shared" si="6"/>
        <v>0</v>
      </c>
    </row>
    <row r="47" spans="13:17" x14ac:dyDescent="0.25">
      <c r="P47" t="s">
        <v>315</v>
      </c>
      <c r="Q47" t="s">
        <v>316</v>
      </c>
    </row>
    <row r="48" spans="13:17" x14ac:dyDescent="0.25">
      <c r="M48" s="7" t="s">
        <v>22</v>
      </c>
      <c r="N48">
        <v>3</v>
      </c>
      <c r="P48">
        <f>O19</f>
        <v>3</v>
      </c>
      <c r="Q48">
        <f>MAX(0,P48-N48)</f>
        <v>0</v>
      </c>
    </row>
    <row r="49" spans="13:121" x14ac:dyDescent="0.25">
      <c r="M49" s="7" t="s">
        <v>23</v>
      </c>
      <c r="N49">
        <v>3</v>
      </c>
      <c r="P49">
        <f t="shared" ref="P49:P53" si="7">O20</f>
        <v>3</v>
      </c>
      <c r="Q49">
        <f t="shared" ref="Q49:Q57" si="8">MAX(0,P49-N49)</f>
        <v>0</v>
      </c>
    </row>
    <row r="50" spans="13:121" x14ac:dyDescent="0.25">
      <c r="M50" s="7" t="s">
        <v>24</v>
      </c>
      <c r="N50">
        <v>0</v>
      </c>
      <c r="P50">
        <f t="shared" si="7"/>
        <v>0</v>
      </c>
      <c r="Q50">
        <f t="shared" si="8"/>
        <v>0</v>
      </c>
    </row>
    <row r="51" spans="13:121" x14ac:dyDescent="0.25">
      <c r="M51" s="7" t="s">
        <v>25</v>
      </c>
      <c r="N51">
        <v>1</v>
      </c>
      <c r="P51">
        <f t="shared" si="7"/>
        <v>1</v>
      </c>
      <c r="Q51">
        <f t="shared" si="8"/>
        <v>0</v>
      </c>
    </row>
    <row r="52" spans="13:121" x14ac:dyDescent="0.25">
      <c r="M52" s="7" t="s">
        <v>26</v>
      </c>
      <c r="N52">
        <v>1</v>
      </c>
      <c r="P52">
        <f t="shared" si="7"/>
        <v>1</v>
      </c>
      <c r="Q52">
        <f t="shared" si="8"/>
        <v>0</v>
      </c>
    </row>
    <row r="53" spans="13:121" x14ac:dyDescent="0.25">
      <c r="M53" s="7" t="s">
        <v>27</v>
      </c>
      <c r="N53">
        <v>3</v>
      </c>
      <c r="P53">
        <f t="shared" si="7"/>
        <v>3</v>
      </c>
      <c r="Q53">
        <f t="shared" si="8"/>
        <v>0</v>
      </c>
    </row>
    <row r="55" spans="13:121" x14ac:dyDescent="0.25">
      <c r="M55" t="s">
        <v>15</v>
      </c>
      <c r="N55">
        <v>2</v>
      </c>
      <c r="P55">
        <f>O14</f>
        <v>2</v>
      </c>
      <c r="Q55">
        <f t="shared" si="8"/>
        <v>0</v>
      </c>
    </row>
    <row r="56" spans="13:121" x14ac:dyDescent="0.25">
      <c r="M56" t="s">
        <v>17</v>
      </c>
      <c r="N56">
        <v>4</v>
      </c>
      <c r="P56">
        <f t="shared" ref="P56:P57" si="9">O15</f>
        <v>4</v>
      </c>
      <c r="Q56">
        <f t="shared" si="8"/>
        <v>0</v>
      </c>
    </row>
    <row r="57" spans="13:121" x14ac:dyDescent="0.25">
      <c r="M57" t="s">
        <v>19</v>
      </c>
      <c r="N57">
        <v>5</v>
      </c>
      <c r="P57">
        <f t="shared" si="9"/>
        <v>5</v>
      </c>
      <c r="Q57">
        <f t="shared" si="8"/>
        <v>0</v>
      </c>
    </row>
    <row r="59" spans="13:121" x14ac:dyDescent="0.25">
      <c r="T59" t="s">
        <v>22</v>
      </c>
      <c r="U59">
        <f>Q48</f>
        <v>0</v>
      </c>
      <c r="V59" t="e">
        <f>IF(U$71=$T59,U59-1,U59)</f>
        <v>#NUM!</v>
      </c>
      <c r="W59" t="e">
        <f>IF(V$71=$T59,V59-1,V59)</f>
        <v>#NUM!</v>
      </c>
      <c r="X59" t="e">
        <f t="shared" ref="X59:CI62" si="10">IF(W$71=$T59,W59-1,W59)</f>
        <v>#NUM!</v>
      </c>
      <c r="Y59" t="e">
        <f t="shared" si="10"/>
        <v>#NUM!</v>
      </c>
      <c r="Z59" t="e">
        <f t="shared" si="10"/>
        <v>#NUM!</v>
      </c>
      <c r="AA59" t="e">
        <f t="shared" si="10"/>
        <v>#NUM!</v>
      </c>
      <c r="AB59" t="e">
        <f t="shared" si="10"/>
        <v>#NUM!</v>
      </c>
      <c r="AC59" t="e">
        <f t="shared" si="10"/>
        <v>#NUM!</v>
      </c>
      <c r="AD59" t="e">
        <f t="shared" si="10"/>
        <v>#NUM!</v>
      </c>
      <c r="AE59" t="e">
        <f t="shared" si="10"/>
        <v>#NUM!</v>
      </c>
      <c r="AF59" t="e">
        <f t="shared" si="10"/>
        <v>#NUM!</v>
      </c>
      <c r="AG59" t="e">
        <f t="shared" si="10"/>
        <v>#NUM!</v>
      </c>
      <c r="AH59" t="e">
        <f t="shared" si="10"/>
        <v>#NUM!</v>
      </c>
      <c r="AI59" t="e">
        <f t="shared" si="10"/>
        <v>#NUM!</v>
      </c>
      <c r="AJ59" t="e">
        <f t="shared" si="10"/>
        <v>#NUM!</v>
      </c>
      <c r="AK59" t="e">
        <f t="shared" si="10"/>
        <v>#NUM!</v>
      </c>
      <c r="AL59" t="e">
        <f t="shared" si="10"/>
        <v>#NUM!</v>
      </c>
      <c r="AM59" t="e">
        <f t="shared" si="10"/>
        <v>#NUM!</v>
      </c>
      <c r="AN59" t="e">
        <f t="shared" si="10"/>
        <v>#NUM!</v>
      </c>
      <c r="AO59" t="e">
        <f t="shared" si="10"/>
        <v>#NUM!</v>
      </c>
      <c r="AP59" t="e">
        <f t="shared" si="10"/>
        <v>#NUM!</v>
      </c>
      <c r="AQ59" t="e">
        <f t="shared" si="10"/>
        <v>#NUM!</v>
      </c>
      <c r="AR59" t="e">
        <f t="shared" si="10"/>
        <v>#NUM!</v>
      </c>
      <c r="AS59" t="e">
        <f t="shared" si="10"/>
        <v>#NUM!</v>
      </c>
      <c r="AT59" t="e">
        <f t="shared" si="10"/>
        <v>#NUM!</v>
      </c>
      <c r="AU59" t="e">
        <f t="shared" si="10"/>
        <v>#NUM!</v>
      </c>
      <c r="AV59" t="e">
        <f t="shared" si="10"/>
        <v>#NUM!</v>
      </c>
      <c r="AW59" t="e">
        <f t="shared" si="10"/>
        <v>#NUM!</v>
      </c>
      <c r="AX59" t="e">
        <f t="shared" si="10"/>
        <v>#NUM!</v>
      </c>
      <c r="AY59" t="e">
        <f t="shared" si="10"/>
        <v>#NUM!</v>
      </c>
      <c r="AZ59" t="e">
        <f t="shared" si="10"/>
        <v>#NUM!</v>
      </c>
      <c r="BA59" t="e">
        <f t="shared" si="10"/>
        <v>#NUM!</v>
      </c>
      <c r="BB59" t="e">
        <f t="shared" si="10"/>
        <v>#NUM!</v>
      </c>
      <c r="BC59" t="e">
        <f t="shared" si="10"/>
        <v>#NUM!</v>
      </c>
      <c r="BD59" t="e">
        <f t="shared" si="10"/>
        <v>#NUM!</v>
      </c>
      <c r="BE59" t="e">
        <f t="shared" si="10"/>
        <v>#NUM!</v>
      </c>
      <c r="BF59" t="e">
        <f t="shared" si="10"/>
        <v>#NUM!</v>
      </c>
      <c r="BG59" t="e">
        <f t="shared" si="10"/>
        <v>#NUM!</v>
      </c>
      <c r="BH59" t="e">
        <f t="shared" si="10"/>
        <v>#NUM!</v>
      </c>
      <c r="BI59" t="e">
        <f t="shared" si="10"/>
        <v>#NUM!</v>
      </c>
      <c r="BJ59" t="e">
        <f t="shared" si="10"/>
        <v>#NUM!</v>
      </c>
      <c r="BK59" t="e">
        <f t="shared" si="10"/>
        <v>#NUM!</v>
      </c>
      <c r="BL59" t="e">
        <f t="shared" si="10"/>
        <v>#NUM!</v>
      </c>
      <c r="BM59" t="e">
        <f t="shared" si="10"/>
        <v>#NUM!</v>
      </c>
      <c r="BN59" t="e">
        <f t="shared" si="10"/>
        <v>#NUM!</v>
      </c>
      <c r="BO59" t="e">
        <f t="shared" si="10"/>
        <v>#NUM!</v>
      </c>
      <c r="BP59" t="e">
        <f t="shared" si="10"/>
        <v>#NUM!</v>
      </c>
      <c r="BQ59" t="e">
        <f t="shared" si="10"/>
        <v>#NUM!</v>
      </c>
      <c r="BR59" t="e">
        <f t="shared" si="10"/>
        <v>#NUM!</v>
      </c>
      <c r="BS59" t="e">
        <f t="shared" si="10"/>
        <v>#NUM!</v>
      </c>
      <c r="BT59" t="e">
        <f t="shared" si="10"/>
        <v>#NUM!</v>
      </c>
      <c r="BU59" t="e">
        <f t="shared" si="10"/>
        <v>#NUM!</v>
      </c>
      <c r="BV59" t="e">
        <f t="shared" si="10"/>
        <v>#NUM!</v>
      </c>
      <c r="BW59" t="e">
        <f t="shared" si="10"/>
        <v>#NUM!</v>
      </c>
      <c r="BX59" t="e">
        <f t="shared" si="10"/>
        <v>#NUM!</v>
      </c>
      <c r="BY59" t="e">
        <f t="shared" si="10"/>
        <v>#NUM!</v>
      </c>
      <c r="BZ59" t="e">
        <f t="shared" si="10"/>
        <v>#NUM!</v>
      </c>
      <c r="CA59" t="e">
        <f t="shared" si="10"/>
        <v>#NUM!</v>
      </c>
      <c r="CB59" t="e">
        <f t="shared" si="10"/>
        <v>#NUM!</v>
      </c>
      <c r="CC59" t="e">
        <f t="shared" si="10"/>
        <v>#NUM!</v>
      </c>
      <c r="CD59" t="e">
        <f t="shared" si="10"/>
        <v>#NUM!</v>
      </c>
      <c r="CE59" t="e">
        <f t="shared" si="10"/>
        <v>#NUM!</v>
      </c>
      <c r="CF59" t="e">
        <f t="shared" si="10"/>
        <v>#NUM!</v>
      </c>
      <c r="CG59" t="e">
        <f t="shared" si="10"/>
        <v>#NUM!</v>
      </c>
      <c r="CH59" t="e">
        <f t="shared" si="10"/>
        <v>#NUM!</v>
      </c>
      <c r="CI59" t="e">
        <f t="shared" si="10"/>
        <v>#NUM!</v>
      </c>
      <c r="CJ59" t="e">
        <f t="shared" ref="CJ59:DP64" si="11">IF(CI$71=$T59,CI59-1,CI59)</f>
        <v>#NUM!</v>
      </c>
      <c r="CK59" t="e">
        <f t="shared" si="11"/>
        <v>#NUM!</v>
      </c>
      <c r="CL59" t="e">
        <f t="shared" si="11"/>
        <v>#NUM!</v>
      </c>
      <c r="CM59" t="e">
        <f t="shared" si="11"/>
        <v>#NUM!</v>
      </c>
      <c r="CN59" t="e">
        <f t="shared" si="11"/>
        <v>#NUM!</v>
      </c>
      <c r="CO59" t="e">
        <f t="shared" si="11"/>
        <v>#NUM!</v>
      </c>
      <c r="CP59" t="e">
        <f t="shared" si="11"/>
        <v>#NUM!</v>
      </c>
      <c r="CQ59" t="e">
        <f t="shared" si="11"/>
        <v>#NUM!</v>
      </c>
      <c r="CR59" t="e">
        <f t="shared" si="11"/>
        <v>#NUM!</v>
      </c>
      <c r="CS59" t="e">
        <f t="shared" si="11"/>
        <v>#NUM!</v>
      </c>
      <c r="CT59" t="e">
        <f t="shared" si="11"/>
        <v>#NUM!</v>
      </c>
      <c r="CU59" t="e">
        <f t="shared" si="11"/>
        <v>#NUM!</v>
      </c>
      <c r="CV59" t="e">
        <f t="shared" si="11"/>
        <v>#NUM!</v>
      </c>
      <c r="CW59" t="e">
        <f t="shared" si="11"/>
        <v>#NUM!</v>
      </c>
      <c r="CX59" t="e">
        <f t="shared" si="11"/>
        <v>#NUM!</v>
      </c>
      <c r="CY59" t="e">
        <f t="shared" si="11"/>
        <v>#NUM!</v>
      </c>
      <c r="CZ59" t="e">
        <f t="shared" si="11"/>
        <v>#NUM!</v>
      </c>
      <c r="DA59" t="e">
        <f t="shared" si="11"/>
        <v>#NUM!</v>
      </c>
      <c r="DB59" t="e">
        <f t="shared" si="11"/>
        <v>#NUM!</v>
      </c>
      <c r="DC59" t="e">
        <f t="shared" si="11"/>
        <v>#NUM!</v>
      </c>
      <c r="DD59" t="e">
        <f t="shared" si="11"/>
        <v>#NUM!</v>
      </c>
      <c r="DE59" t="e">
        <f t="shared" si="11"/>
        <v>#NUM!</v>
      </c>
      <c r="DF59" t="e">
        <f t="shared" si="11"/>
        <v>#NUM!</v>
      </c>
      <c r="DG59" t="e">
        <f t="shared" si="11"/>
        <v>#NUM!</v>
      </c>
      <c r="DH59" t="e">
        <f t="shared" si="11"/>
        <v>#NUM!</v>
      </c>
      <c r="DI59" t="e">
        <f t="shared" si="11"/>
        <v>#NUM!</v>
      </c>
      <c r="DJ59" t="e">
        <f t="shared" si="11"/>
        <v>#NUM!</v>
      </c>
      <c r="DK59" t="e">
        <f t="shared" si="11"/>
        <v>#NUM!</v>
      </c>
      <c r="DL59" t="e">
        <f t="shared" si="11"/>
        <v>#NUM!</v>
      </c>
      <c r="DM59" t="e">
        <f t="shared" si="11"/>
        <v>#NUM!</v>
      </c>
      <c r="DN59" t="e">
        <f t="shared" si="11"/>
        <v>#NUM!</v>
      </c>
      <c r="DO59" t="e">
        <f t="shared" si="11"/>
        <v>#NUM!</v>
      </c>
      <c r="DP59" t="e">
        <f t="shared" si="11"/>
        <v>#NUM!</v>
      </c>
      <c r="DQ59" t="s">
        <v>22</v>
      </c>
    </row>
    <row r="60" spans="13:121" x14ac:dyDescent="0.25">
      <c r="T60" t="s">
        <v>23</v>
      </c>
      <c r="U60">
        <f t="shared" ref="U60:U64" si="12">Q49</f>
        <v>0</v>
      </c>
      <c r="V60" t="e">
        <f t="shared" ref="V60:AK64" si="13">IF(U$71=$T60,U60-1,U60)</f>
        <v>#NUM!</v>
      </c>
      <c r="W60" t="e">
        <f>IF(V$71=$T60,V60-1,V60)</f>
        <v>#NUM!</v>
      </c>
      <c r="X60" t="e">
        <f t="shared" si="10"/>
        <v>#NUM!</v>
      </c>
      <c r="Y60" t="e">
        <f t="shared" si="10"/>
        <v>#NUM!</v>
      </c>
      <c r="Z60" t="e">
        <f t="shared" si="10"/>
        <v>#NUM!</v>
      </c>
      <c r="AA60" t="e">
        <f t="shared" si="10"/>
        <v>#NUM!</v>
      </c>
      <c r="AB60" t="e">
        <f t="shared" si="10"/>
        <v>#NUM!</v>
      </c>
      <c r="AC60" t="e">
        <f t="shared" si="10"/>
        <v>#NUM!</v>
      </c>
      <c r="AD60" t="e">
        <f t="shared" si="10"/>
        <v>#NUM!</v>
      </c>
      <c r="AE60" t="e">
        <f t="shared" si="10"/>
        <v>#NUM!</v>
      </c>
      <c r="AF60" t="e">
        <f t="shared" si="10"/>
        <v>#NUM!</v>
      </c>
      <c r="AG60" t="e">
        <f t="shared" si="10"/>
        <v>#NUM!</v>
      </c>
      <c r="AH60" t="e">
        <f t="shared" si="10"/>
        <v>#NUM!</v>
      </c>
      <c r="AI60" t="e">
        <f t="shared" si="10"/>
        <v>#NUM!</v>
      </c>
      <c r="AJ60" t="e">
        <f t="shared" si="10"/>
        <v>#NUM!</v>
      </c>
      <c r="AK60" t="e">
        <f t="shared" si="10"/>
        <v>#NUM!</v>
      </c>
      <c r="AL60" t="e">
        <f t="shared" si="10"/>
        <v>#NUM!</v>
      </c>
      <c r="AM60" t="e">
        <f t="shared" si="10"/>
        <v>#NUM!</v>
      </c>
      <c r="AN60" t="e">
        <f t="shared" si="10"/>
        <v>#NUM!</v>
      </c>
      <c r="AO60" t="e">
        <f t="shared" si="10"/>
        <v>#NUM!</v>
      </c>
      <c r="AP60" t="e">
        <f t="shared" si="10"/>
        <v>#NUM!</v>
      </c>
      <c r="AQ60" t="e">
        <f t="shared" si="10"/>
        <v>#NUM!</v>
      </c>
      <c r="AR60" t="e">
        <f t="shared" si="10"/>
        <v>#NUM!</v>
      </c>
      <c r="AS60" t="e">
        <f t="shared" si="10"/>
        <v>#NUM!</v>
      </c>
      <c r="AT60" t="e">
        <f t="shared" si="10"/>
        <v>#NUM!</v>
      </c>
      <c r="AU60" t="e">
        <f t="shared" si="10"/>
        <v>#NUM!</v>
      </c>
      <c r="AV60" t="e">
        <f t="shared" si="10"/>
        <v>#NUM!</v>
      </c>
      <c r="AW60" t="e">
        <f t="shared" si="10"/>
        <v>#NUM!</v>
      </c>
      <c r="AX60" t="e">
        <f t="shared" si="10"/>
        <v>#NUM!</v>
      </c>
      <c r="AY60" t="e">
        <f t="shared" si="10"/>
        <v>#NUM!</v>
      </c>
      <c r="AZ60" t="e">
        <f t="shared" si="10"/>
        <v>#NUM!</v>
      </c>
      <c r="BA60" t="e">
        <f t="shared" si="10"/>
        <v>#NUM!</v>
      </c>
      <c r="BB60" t="e">
        <f t="shared" si="10"/>
        <v>#NUM!</v>
      </c>
      <c r="BC60" t="e">
        <f t="shared" si="10"/>
        <v>#NUM!</v>
      </c>
      <c r="BD60" t="e">
        <f t="shared" si="10"/>
        <v>#NUM!</v>
      </c>
      <c r="BE60" t="e">
        <f t="shared" si="10"/>
        <v>#NUM!</v>
      </c>
      <c r="BF60" t="e">
        <f t="shared" si="10"/>
        <v>#NUM!</v>
      </c>
      <c r="BG60" t="e">
        <f t="shared" si="10"/>
        <v>#NUM!</v>
      </c>
      <c r="BH60" t="e">
        <f t="shared" si="10"/>
        <v>#NUM!</v>
      </c>
      <c r="BI60" t="e">
        <f t="shared" si="10"/>
        <v>#NUM!</v>
      </c>
      <c r="BJ60" t="e">
        <f t="shared" si="10"/>
        <v>#NUM!</v>
      </c>
      <c r="BK60" t="e">
        <f t="shared" si="10"/>
        <v>#NUM!</v>
      </c>
      <c r="BL60" t="e">
        <f t="shared" si="10"/>
        <v>#NUM!</v>
      </c>
      <c r="BM60" t="e">
        <f t="shared" si="10"/>
        <v>#NUM!</v>
      </c>
      <c r="BN60" t="e">
        <f t="shared" si="10"/>
        <v>#NUM!</v>
      </c>
      <c r="BO60" t="e">
        <f t="shared" si="10"/>
        <v>#NUM!</v>
      </c>
      <c r="BP60" t="e">
        <f t="shared" si="10"/>
        <v>#NUM!</v>
      </c>
      <c r="BQ60" t="e">
        <f t="shared" si="10"/>
        <v>#NUM!</v>
      </c>
      <c r="BR60" t="e">
        <f t="shared" si="10"/>
        <v>#NUM!</v>
      </c>
      <c r="BS60" t="e">
        <f t="shared" si="10"/>
        <v>#NUM!</v>
      </c>
      <c r="BT60" t="e">
        <f t="shared" si="10"/>
        <v>#NUM!</v>
      </c>
      <c r="BU60" t="e">
        <f t="shared" si="10"/>
        <v>#NUM!</v>
      </c>
      <c r="BV60" t="e">
        <f t="shared" si="10"/>
        <v>#NUM!</v>
      </c>
      <c r="BW60" t="e">
        <f t="shared" si="10"/>
        <v>#NUM!</v>
      </c>
      <c r="BX60" t="e">
        <f t="shared" si="10"/>
        <v>#NUM!</v>
      </c>
      <c r="BY60" t="e">
        <f t="shared" si="10"/>
        <v>#NUM!</v>
      </c>
      <c r="BZ60" t="e">
        <f t="shared" si="10"/>
        <v>#NUM!</v>
      </c>
      <c r="CA60" t="e">
        <f t="shared" si="10"/>
        <v>#NUM!</v>
      </c>
      <c r="CB60" t="e">
        <f t="shared" si="10"/>
        <v>#NUM!</v>
      </c>
      <c r="CC60" t="e">
        <f t="shared" si="10"/>
        <v>#NUM!</v>
      </c>
      <c r="CD60" t="e">
        <f t="shared" si="10"/>
        <v>#NUM!</v>
      </c>
      <c r="CE60" t="e">
        <f t="shared" si="10"/>
        <v>#NUM!</v>
      </c>
      <c r="CF60" t="e">
        <f t="shared" si="10"/>
        <v>#NUM!</v>
      </c>
      <c r="CG60" t="e">
        <f t="shared" si="10"/>
        <v>#NUM!</v>
      </c>
      <c r="CH60" t="e">
        <f t="shared" si="10"/>
        <v>#NUM!</v>
      </c>
      <c r="CI60" t="e">
        <f t="shared" si="10"/>
        <v>#NUM!</v>
      </c>
      <c r="CJ60" t="e">
        <f t="shared" si="11"/>
        <v>#NUM!</v>
      </c>
      <c r="CK60" t="e">
        <f t="shared" si="11"/>
        <v>#NUM!</v>
      </c>
      <c r="CL60" t="e">
        <f t="shared" si="11"/>
        <v>#NUM!</v>
      </c>
      <c r="CM60" t="e">
        <f t="shared" si="11"/>
        <v>#NUM!</v>
      </c>
      <c r="CN60" t="e">
        <f t="shared" si="11"/>
        <v>#NUM!</v>
      </c>
      <c r="CO60" t="e">
        <f t="shared" si="11"/>
        <v>#NUM!</v>
      </c>
      <c r="CP60" t="e">
        <f t="shared" si="11"/>
        <v>#NUM!</v>
      </c>
      <c r="CQ60" t="e">
        <f t="shared" si="11"/>
        <v>#NUM!</v>
      </c>
      <c r="CR60" t="e">
        <f t="shared" si="11"/>
        <v>#NUM!</v>
      </c>
      <c r="CS60" t="e">
        <f t="shared" si="11"/>
        <v>#NUM!</v>
      </c>
      <c r="CT60" t="e">
        <f t="shared" si="11"/>
        <v>#NUM!</v>
      </c>
      <c r="CU60" t="e">
        <f t="shared" si="11"/>
        <v>#NUM!</v>
      </c>
      <c r="CV60" t="e">
        <f t="shared" si="11"/>
        <v>#NUM!</v>
      </c>
      <c r="CW60" t="e">
        <f t="shared" si="11"/>
        <v>#NUM!</v>
      </c>
      <c r="CX60" t="e">
        <f t="shared" si="11"/>
        <v>#NUM!</v>
      </c>
      <c r="CY60" t="e">
        <f t="shared" si="11"/>
        <v>#NUM!</v>
      </c>
      <c r="CZ60" t="e">
        <f t="shared" si="11"/>
        <v>#NUM!</v>
      </c>
      <c r="DA60" t="e">
        <f t="shared" si="11"/>
        <v>#NUM!</v>
      </c>
      <c r="DB60" t="e">
        <f t="shared" si="11"/>
        <v>#NUM!</v>
      </c>
      <c r="DC60" t="e">
        <f t="shared" si="11"/>
        <v>#NUM!</v>
      </c>
      <c r="DD60" t="e">
        <f t="shared" si="11"/>
        <v>#NUM!</v>
      </c>
      <c r="DE60" t="e">
        <f t="shared" si="11"/>
        <v>#NUM!</v>
      </c>
      <c r="DF60" t="e">
        <f t="shared" si="11"/>
        <v>#NUM!</v>
      </c>
      <c r="DG60" t="e">
        <f t="shared" si="11"/>
        <v>#NUM!</v>
      </c>
      <c r="DH60" t="e">
        <f t="shared" si="11"/>
        <v>#NUM!</v>
      </c>
      <c r="DI60" t="e">
        <f t="shared" si="11"/>
        <v>#NUM!</v>
      </c>
      <c r="DJ60" t="e">
        <f t="shared" si="11"/>
        <v>#NUM!</v>
      </c>
      <c r="DK60" t="e">
        <f t="shared" si="11"/>
        <v>#NUM!</v>
      </c>
      <c r="DL60" t="e">
        <f t="shared" si="11"/>
        <v>#NUM!</v>
      </c>
      <c r="DM60" t="e">
        <f t="shared" si="11"/>
        <v>#NUM!</v>
      </c>
      <c r="DN60" t="e">
        <f t="shared" si="11"/>
        <v>#NUM!</v>
      </c>
      <c r="DO60" t="e">
        <f t="shared" si="11"/>
        <v>#NUM!</v>
      </c>
      <c r="DP60" t="e">
        <f t="shared" si="11"/>
        <v>#NUM!</v>
      </c>
      <c r="DQ60" t="s">
        <v>23</v>
      </c>
    </row>
    <row r="61" spans="13:121" x14ac:dyDescent="0.25">
      <c r="T61" t="s">
        <v>24</v>
      </c>
      <c r="U61">
        <f t="shared" si="12"/>
        <v>0</v>
      </c>
      <c r="V61" t="e">
        <f t="shared" si="13"/>
        <v>#NUM!</v>
      </c>
      <c r="W61" t="e">
        <f t="shared" si="13"/>
        <v>#NUM!</v>
      </c>
      <c r="X61" t="e">
        <f t="shared" si="10"/>
        <v>#NUM!</v>
      </c>
      <c r="Y61" t="e">
        <f t="shared" si="10"/>
        <v>#NUM!</v>
      </c>
      <c r="Z61" t="e">
        <f t="shared" si="10"/>
        <v>#NUM!</v>
      </c>
      <c r="AA61" t="e">
        <f t="shared" si="10"/>
        <v>#NUM!</v>
      </c>
      <c r="AB61" t="e">
        <f t="shared" si="10"/>
        <v>#NUM!</v>
      </c>
      <c r="AC61" t="e">
        <f t="shared" si="10"/>
        <v>#NUM!</v>
      </c>
      <c r="AD61" t="e">
        <f t="shared" si="10"/>
        <v>#NUM!</v>
      </c>
      <c r="AE61" t="e">
        <f t="shared" si="10"/>
        <v>#NUM!</v>
      </c>
      <c r="AF61" t="e">
        <f t="shared" si="10"/>
        <v>#NUM!</v>
      </c>
      <c r="AG61" t="e">
        <f t="shared" si="10"/>
        <v>#NUM!</v>
      </c>
      <c r="AH61" t="e">
        <f t="shared" si="10"/>
        <v>#NUM!</v>
      </c>
      <c r="AI61" t="e">
        <f t="shared" si="10"/>
        <v>#NUM!</v>
      </c>
      <c r="AJ61" t="e">
        <f t="shared" si="10"/>
        <v>#NUM!</v>
      </c>
      <c r="AK61" t="e">
        <f t="shared" si="10"/>
        <v>#NUM!</v>
      </c>
      <c r="AL61" t="e">
        <f t="shared" si="10"/>
        <v>#NUM!</v>
      </c>
      <c r="AM61" t="e">
        <f t="shared" si="10"/>
        <v>#NUM!</v>
      </c>
      <c r="AN61" t="e">
        <f t="shared" si="10"/>
        <v>#NUM!</v>
      </c>
      <c r="AO61" t="e">
        <f t="shared" si="10"/>
        <v>#NUM!</v>
      </c>
      <c r="AP61" t="e">
        <f t="shared" si="10"/>
        <v>#NUM!</v>
      </c>
      <c r="AQ61" t="e">
        <f t="shared" si="10"/>
        <v>#NUM!</v>
      </c>
      <c r="AR61" t="e">
        <f t="shared" si="10"/>
        <v>#NUM!</v>
      </c>
      <c r="AS61" t="e">
        <f t="shared" si="10"/>
        <v>#NUM!</v>
      </c>
      <c r="AT61" t="e">
        <f t="shared" si="10"/>
        <v>#NUM!</v>
      </c>
      <c r="AU61" t="e">
        <f t="shared" si="10"/>
        <v>#NUM!</v>
      </c>
      <c r="AV61" t="e">
        <f t="shared" si="10"/>
        <v>#NUM!</v>
      </c>
      <c r="AW61" t="e">
        <f t="shared" si="10"/>
        <v>#NUM!</v>
      </c>
      <c r="AX61" t="e">
        <f t="shared" si="10"/>
        <v>#NUM!</v>
      </c>
      <c r="AY61" t="e">
        <f t="shared" si="10"/>
        <v>#NUM!</v>
      </c>
      <c r="AZ61" t="e">
        <f t="shared" si="10"/>
        <v>#NUM!</v>
      </c>
      <c r="BA61" t="e">
        <f t="shared" si="10"/>
        <v>#NUM!</v>
      </c>
      <c r="BB61" t="e">
        <f t="shared" si="10"/>
        <v>#NUM!</v>
      </c>
      <c r="BC61" t="e">
        <f t="shared" si="10"/>
        <v>#NUM!</v>
      </c>
      <c r="BD61" t="e">
        <f t="shared" si="10"/>
        <v>#NUM!</v>
      </c>
      <c r="BE61" t="e">
        <f t="shared" si="10"/>
        <v>#NUM!</v>
      </c>
      <c r="BF61" t="e">
        <f t="shared" si="10"/>
        <v>#NUM!</v>
      </c>
      <c r="BG61" t="e">
        <f t="shared" si="10"/>
        <v>#NUM!</v>
      </c>
      <c r="BH61" t="e">
        <f t="shared" si="10"/>
        <v>#NUM!</v>
      </c>
      <c r="BI61" t="e">
        <f t="shared" si="10"/>
        <v>#NUM!</v>
      </c>
      <c r="BJ61" t="e">
        <f t="shared" si="10"/>
        <v>#NUM!</v>
      </c>
      <c r="BK61" t="e">
        <f t="shared" si="10"/>
        <v>#NUM!</v>
      </c>
      <c r="BL61" t="e">
        <f t="shared" si="10"/>
        <v>#NUM!</v>
      </c>
      <c r="BM61" t="e">
        <f t="shared" si="10"/>
        <v>#NUM!</v>
      </c>
      <c r="BN61" t="e">
        <f t="shared" si="10"/>
        <v>#NUM!</v>
      </c>
      <c r="BO61" t="e">
        <f t="shared" si="10"/>
        <v>#NUM!</v>
      </c>
      <c r="BP61" t="e">
        <f t="shared" si="10"/>
        <v>#NUM!</v>
      </c>
      <c r="BQ61" t="e">
        <f t="shared" si="10"/>
        <v>#NUM!</v>
      </c>
      <c r="BR61" t="e">
        <f t="shared" si="10"/>
        <v>#NUM!</v>
      </c>
      <c r="BS61" t="e">
        <f t="shared" si="10"/>
        <v>#NUM!</v>
      </c>
      <c r="BT61" t="e">
        <f t="shared" si="10"/>
        <v>#NUM!</v>
      </c>
      <c r="BU61" t="e">
        <f t="shared" si="10"/>
        <v>#NUM!</v>
      </c>
      <c r="BV61" t="e">
        <f t="shared" si="10"/>
        <v>#NUM!</v>
      </c>
      <c r="BW61" t="e">
        <f t="shared" si="10"/>
        <v>#NUM!</v>
      </c>
      <c r="BX61" t="e">
        <f t="shared" si="10"/>
        <v>#NUM!</v>
      </c>
      <c r="BY61" t="e">
        <f t="shared" si="10"/>
        <v>#NUM!</v>
      </c>
      <c r="BZ61" t="e">
        <f t="shared" si="10"/>
        <v>#NUM!</v>
      </c>
      <c r="CA61" t="e">
        <f t="shared" si="10"/>
        <v>#NUM!</v>
      </c>
      <c r="CB61" t="e">
        <f t="shared" si="10"/>
        <v>#NUM!</v>
      </c>
      <c r="CC61" t="e">
        <f t="shared" si="10"/>
        <v>#NUM!</v>
      </c>
      <c r="CD61" t="e">
        <f t="shared" si="10"/>
        <v>#NUM!</v>
      </c>
      <c r="CE61" t="e">
        <f t="shared" si="10"/>
        <v>#NUM!</v>
      </c>
      <c r="CF61" t="e">
        <f t="shared" si="10"/>
        <v>#NUM!</v>
      </c>
      <c r="CG61" t="e">
        <f t="shared" si="10"/>
        <v>#NUM!</v>
      </c>
      <c r="CH61" t="e">
        <f t="shared" si="10"/>
        <v>#NUM!</v>
      </c>
      <c r="CI61" t="e">
        <f t="shared" si="10"/>
        <v>#NUM!</v>
      </c>
      <c r="CJ61" t="e">
        <f t="shared" si="11"/>
        <v>#NUM!</v>
      </c>
      <c r="CK61" t="e">
        <f t="shared" si="11"/>
        <v>#NUM!</v>
      </c>
      <c r="CL61" t="e">
        <f t="shared" si="11"/>
        <v>#NUM!</v>
      </c>
      <c r="CM61" t="e">
        <f t="shared" si="11"/>
        <v>#NUM!</v>
      </c>
      <c r="CN61" t="e">
        <f t="shared" si="11"/>
        <v>#NUM!</v>
      </c>
      <c r="CO61" t="e">
        <f t="shared" si="11"/>
        <v>#NUM!</v>
      </c>
      <c r="CP61" t="e">
        <f t="shared" si="11"/>
        <v>#NUM!</v>
      </c>
      <c r="CQ61" t="e">
        <f t="shared" si="11"/>
        <v>#NUM!</v>
      </c>
      <c r="CR61" t="e">
        <f t="shared" si="11"/>
        <v>#NUM!</v>
      </c>
      <c r="CS61" t="e">
        <f t="shared" si="11"/>
        <v>#NUM!</v>
      </c>
      <c r="CT61" t="e">
        <f t="shared" si="11"/>
        <v>#NUM!</v>
      </c>
      <c r="CU61" t="e">
        <f t="shared" si="11"/>
        <v>#NUM!</v>
      </c>
      <c r="CV61" t="e">
        <f t="shared" si="11"/>
        <v>#NUM!</v>
      </c>
      <c r="CW61" t="e">
        <f t="shared" si="11"/>
        <v>#NUM!</v>
      </c>
      <c r="CX61" t="e">
        <f t="shared" si="11"/>
        <v>#NUM!</v>
      </c>
      <c r="CY61" t="e">
        <f t="shared" si="11"/>
        <v>#NUM!</v>
      </c>
      <c r="CZ61" t="e">
        <f t="shared" si="11"/>
        <v>#NUM!</v>
      </c>
      <c r="DA61" t="e">
        <f t="shared" si="11"/>
        <v>#NUM!</v>
      </c>
      <c r="DB61" t="e">
        <f t="shared" si="11"/>
        <v>#NUM!</v>
      </c>
      <c r="DC61" t="e">
        <f t="shared" si="11"/>
        <v>#NUM!</v>
      </c>
      <c r="DD61" t="e">
        <f t="shared" si="11"/>
        <v>#NUM!</v>
      </c>
      <c r="DE61" t="e">
        <f t="shared" si="11"/>
        <v>#NUM!</v>
      </c>
      <c r="DF61" t="e">
        <f t="shared" si="11"/>
        <v>#NUM!</v>
      </c>
      <c r="DG61" t="e">
        <f t="shared" si="11"/>
        <v>#NUM!</v>
      </c>
      <c r="DH61" t="e">
        <f t="shared" si="11"/>
        <v>#NUM!</v>
      </c>
      <c r="DI61" t="e">
        <f t="shared" si="11"/>
        <v>#NUM!</v>
      </c>
      <c r="DJ61" t="e">
        <f t="shared" si="11"/>
        <v>#NUM!</v>
      </c>
      <c r="DK61" t="e">
        <f t="shared" si="11"/>
        <v>#NUM!</v>
      </c>
      <c r="DL61" t="e">
        <f t="shared" si="11"/>
        <v>#NUM!</v>
      </c>
      <c r="DM61" t="e">
        <f t="shared" si="11"/>
        <v>#NUM!</v>
      </c>
      <c r="DN61" t="e">
        <f t="shared" si="11"/>
        <v>#NUM!</v>
      </c>
      <c r="DO61" t="e">
        <f t="shared" si="11"/>
        <v>#NUM!</v>
      </c>
      <c r="DP61" t="e">
        <f t="shared" si="11"/>
        <v>#NUM!</v>
      </c>
      <c r="DQ61" t="s">
        <v>24</v>
      </c>
    </row>
    <row r="62" spans="13:121" x14ac:dyDescent="0.25">
      <c r="T62" t="s">
        <v>25</v>
      </c>
      <c r="U62">
        <f t="shared" si="12"/>
        <v>0</v>
      </c>
      <c r="V62" t="e">
        <f t="shared" si="13"/>
        <v>#NUM!</v>
      </c>
      <c r="W62" t="e">
        <f t="shared" si="13"/>
        <v>#NUM!</v>
      </c>
      <c r="X62" t="e">
        <f t="shared" si="10"/>
        <v>#NUM!</v>
      </c>
      <c r="Y62" t="e">
        <f t="shared" si="10"/>
        <v>#NUM!</v>
      </c>
      <c r="Z62" t="e">
        <f t="shared" si="10"/>
        <v>#NUM!</v>
      </c>
      <c r="AA62" t="e">
        <f t="shared" si="10"/>
        <v>#NUM!</v>
      </c>
      <c r="AB62" t="e">
        <f t="shared" si="10"/>
        <v>#NUM!</v>
      </c>
      <c r="AC62" t="e">
        <f t="shared" si="10"/>
        <v>#NUM!</v>
      </c>
      <c r="AD62" t="e">
        <f t="shared" si="10"/>
        <v>#NUM!</v>
      </c>
      <c r="AE62" t="e">
        <f t="shared" si="10"/>
        <v>#NUM!</v>
      </c>
      <c r="AF62" t="e">
        <f t="shared" si="10"/>
        <v>#NUM!</v>
      </c>
      <c r="AG62" t="e">
        <f t="shared" si="10"/>
        <v>#NUM!</v>
      </c>
      <c r="AH62" t="e">
        <f t="shared" si="10"/>
        <v>#NUM!</v>
      </c>
      <c r="AI62" t="e">
        <f t="shared" si="10"/>
        <v>#NUM!</v>
      </c>
      <c r="AJ62" t="e">
        <f t="shared" si="10"/>
        <v>#NUM!</v>
      </c>
      <c r="AK62" t="e">
        <f t="shared" si="10"/>
        <v>#NUM!</v>
      </c>
      <c r="AL62" t="e">
        <f t="shared" si="10"/>
        <v>#NUM!</v>
      </c>
      <c r="AM62" t="e">
        <f t="shared" si="10"/>
        <v>#NUM!</v>
      </c>
      <c r="AN62" t="e">
        <f t="shared" si="10"/>
        <v>#NUM!</v>
      </c>
      <c r="AO62" t="e">
        <f t="shared" si="10"/>
        <v>#NUM!</v>
      </c>
      <c r="AP62" t="e">
        <f t="shared" si="10"/>
        <v>#NUM!</v>
      </c>
      <c r="AQ62" t="e">
        <f t="shared" si="10"/>
        <v>#NUM!</v>
      </c>
      <c r="AR62" t="e">
        <f t="shared" si="10"/>
        <v>#NUM!</v>
      </c>
      <c r="AS62" t="e">
        <f t="shared" si="10"/>
        <v>#NUM!</v>
      </c>
      <c r="AT62" t="e">
        <f t="shared" si="10"/>
        <v>#NUM!</v>
      </c>
      <c r="AU62" t="e">
        <f t="shared" si="10"/>
        <v>#NUM!</v>
      </c>
      <c r="AV62" t="e">
        <f t="shared" si="10"/>
        <v>#NUM!</v>
      </c>
      <c r="AW62" t="e">
        <f t="shared" si="10"/>
        <v>#NUM!</v>
      </c>
      <c r="AX62" t="e">
        <f t="shared" si="10"/>
        <v>#NUM!</v>
      </c>
      <c r="AY62" t="e">
        <f t="shared" si="10"/>
        <v>#NUM!</v>
      </c>
      <c r="AZ62" t="e">
        <f t="shared" si="10"/>
        <v>#NUM!</v>
      </c>
      <c r="BA62" t="e">
        <f t="shared" si="10"/>
        <v>#NUM!</v>
      </c>
      <c r="BB62" t="e">
        <f t="shared" si="10"/>
        <v>#NUM!</v>
      </c>
      <c r="BC62" t="e">
        <f t="shared" si="10"/>
        <v>#NUM!</v>
      </c>
      <c r="BD62" t="e">
        <f t="shared" si="10"/>
        <v>#NUM!</v>
      </c>
      <c r="BE62" t="e">
        <f t="shared" si="10"/>
        <v>#NUM!</v>
      </c>
      <c r="BF62" t="e">
        <f t="shared" si="10"/>
        <v>#NUM!</v>
      </c>
      <c r="BG62" t="e">
        <f t="shared" si="10"/>
        <v>#NUM!</v>
      </c>
      <c r="BH62" t="e">
        <f t="shared" si="10"/>
        <v>#NUM!</v>
      </c>
      <c r="BI62" t="e">
        <f t="shared" si="10"/>
        <v>#NUM!</v>
      </c>
      <c r="BJ62" t="e">
        <f t="shared" si="10"/>
        <v>#NUM!</v>
      </c>
      <c r="BK62" t="e">
        <f t="shared" si="10"/>
        <v>#NUM!</v>
      </c>
      <c r="BL62" t="e">
        <f t="shared" si="10"/>
        <v>#NUM!</v>
      </c>
      <c r="BM62" t="e">
        <f t="shared" si="10"/>
        <v>#NUM!</v>
      </c>
      <c r="BN62" t="e">
        <f t="shared" si="10"/>
        <v>#NUM!</v>
      </c>
      <c r="BO62" t="e">
        <f t="shared" si="10"/>
        <v>#NUM!</v>
      </c>
      <c r="BP62" t="e">
        <f t="shared" si="10"/>
        <v>#NUM!</v>
      </c>
      <c r="BQ62" t="e">
        <f t="shared" si="10"/>
        <v>#NUM!</v>
      </c>
      <c r="BR62" t="e">
        <f t="shared" si="10"/>
        <v>#NUM!</v>
      </c>
      <c r="BS62" t="e">
        <f t="shared" si="10"/>
        <v>#NUM!</v>
      </c>
      <c r="BT62" t="e">
        <f t="shared" si="10"/>
        <v>#NUM!</v>
      </c>
      <c r="BU62" t="e">
        <f t="shared" si="10"/>
        <v>#NUM!</v>
      </c>
      <c r="BV62" t="e">
        <f t="shared" si="10"/>
        <v>#NUM!</v>
      </c>
      <c r="BW62" t="e">
        <f t="shared" si="10"/>
        <v>#NUM!</v>
      </c>
      <c r="BX62" t="e">
        <f t="shared" si="10"/>
        <v>#NUM!</v>
      </c>
      <c r="BY62" t="e">
        <f t="shared" si="10"/>
        <v>#NUM!</v>
      </c>
      <c r="BZ62" t="e">
        <f t="shared" si="10"/>
        <v>#NUM!</v>
      </c>
      <c r="CA62" t="e">
        <f t="shared" si="10"/>
        <v>#NUM!</v>
      </c>
      <c r="CB62" t="e">
        <f t="shared" si="10"/>
        <v>#NUM!</v>
      </c>
      <c r="CC62" t="e">
        <f t="shared" si="10"/>
        <v>#NUM!</v>
      </c>
      <c r="CD62" t="e">
        <f t="shared" si="10"/>
        <v>#NUM!</v>
      </c>
      <c r="CE62" t="e">
        <f t="shared" si="10"/>
        <v>#NUM!</v>
      </c>
      <c r="CF62" t="e">
        <f t="shared" si="10"/>
        <v>#NUM!</v>
      </c>
      <c r="CG62" t="e">
        <f t="shared" si="10"/>
        <v>#NUM!</v>
      </c>
      <c r="CH62" t="e">
        <f t="shared" si="10"/>
        <v>#NUM!</v>
      </c>
      <c r="CI62" t="e">
        <f t="shared" ref="CI62:CM62" si="14">IF(CH$71=$T62,CH62-1,CH62)</f>
        <v>#NUM!</v>
      </c>
      <c r="CJ62" t="e">
        <f t="shared" si="14"/>
        <v>#NUM!</v>
      </c>
      <c r="CK62" t="e">
        <f t="shared" si="14"/>
        <v>#NUM!</v>
      </c>
      <c r="CL62" t="e">
        <f t="shared" si="14"/>
        <v>#NUM!</v>
      </c>
      <c r="CM62" t="e">
        <f t="shared" si="14"/>
        <v>#NUM!</v>
      </c>
      <c r="CN62" t="e">
        <f t="shared" si="11"/>
        <v>#NUM!</v>
      </c>
      <c r="CO62" t="e">
        <f t="shared" si="11"/>
        <v>#NUM!</v>
      </c>
      <c r="CP62" t="e">
        <f t="shared" si="11"/>
        <v>#NUM!</v>
      </c>
      <c r="CQ62" t="e">
        <f t="shared" si="11"/>
        <v>#NUM!</v>
      </c>
      <c r="CR62" t="e">
        <f t="shared" si="11"/>
        <v>#NUM!</v>
      </c>
      <c r="CS62" t="e">
        <f t="shared" si="11"/>
        <v>#NUM!</v>
      </c>
      <c r="CT62" t="e">
        <f t="shared" si="11"/>
        <v>#NUM!</v>
      </c>
      <c r="CU62" t="e">
        <f t="shared" si="11"/>
        <v>#NUM!</v>
      </c>
      <c r="CV62" t="e">
        <f t="shared" si="11"/>
        <v>#NUM!</v>
      </c>
      <c r="CW62" t="e">
        <f t="shared" si="11"/>
        <v>#NUM!</v>
      </c>
      <c r="CX62" t="e">
        <f t="shared" si="11"/>
        <v>#NUM!</v>
      </c>
      <c r="CY62" t="e">
        <f t="shared" si="11"/>
        <v>#NUM!</v>
      </c>
      <c r="CZ62" t="e">
        <f t="shared" si="11"/>
        <v>#NUM!</v>
      </c>
      <c r="DA62" t="e">
        <f t="shared" si="11"/>
        <v>#NUM!</v>
      </c>
      <c r="DB62" t="e">
        <f t="shared" si="11"/>
        <v>#NUM!</v>
      </c>
      <c r="DC62" t="e">
        <f t="shared" si="11"/>
        <v>#NUM!</v>
      </c>
      <c r="DD62" t="e">
        <f t="shared" si="11"/>
        <v>#NUM!</v>
      </c>
      <c r="DE62" t="e">
        <f t="shared" si="11"/>
        <v>#NUM!</v>
      </c>
      <c r="DF62" t="e">
        <f t="shared" si="11"/>
        <v>#NUM!</v>
      </c>
      <c r="DG62" t="e">
        <f t="shared" si="11"/>
        <v>#NUM!</v>
      </c>
      <c r="DH62" t="e">
        <f t="shared" si="11"/>
        <v>#NUM!</v>
      </c>
      <c r="DI62" t="e">
        <f t="shared" si="11"/>
        <v>#NUM!</v>
      </c>
      <c r="DJ62" t="e">
        <f>IF(DI$71=$T62,DI62-1,DI62)</f>
        <v>#NUM!</v>
      </c>
      <c r="DK62" t="e">
        <f t="shared" si="11"/>
        <v>#NUM!</v>
      </c>
      <c r="DL62" t="e">
        <f t="shared" si="11"/>
        <v>#NUM!</v>
      </c>
      <c r="DM62" t="e">
        <f t="shared" si="11"/>
        <v>#NUM!</v>
      </c>
      <c r="DN62" t="e">
        <f t="shared" si="11"/>
        <v>#NUM!</v>
      </c>
      <c r="DO62" t="e">
        <f t="shared" si="11"/>
        <v>#NUM!</v>
      </c>
      <c r="DP62" t="e">
        <f t="shared" si="11"/>
        <v>#NUM!</v>
      </c>
      <c r="DQ62" t="s">
        <v>25</v>
      </c>
    </row>
    <row r="63" spans="13:121" x14ac:dyDescent="0.25">
      <c r="T63" t="s">
        <v>26</v>
      </c>
      <c r="U63">
        <f t="shared" si="12"/>
        <v>0</v>
      </c>
      <c r="V63" t="e">
        <f t="shared" si="13"/>
        <v>#NUM!</v>
      </c>
      <c r="W63" t="e">
        <f t="shared" si="13"/>
        <v>#NUM!</v>
      </c>
      <c r="X63" t="e">
        <f t="shared" si="13"/>
        <v>#NUM!</v>
      </c>
      <c r="Y63" t="e">
        <f t="shared" si="13"/>
        <v>#NUM!</v>
      </c>
      <c r="Z63" t="e">
        <f t="shared" si="13"/>
        <v>#NUM!</v>
      </c>
      <c r="AA63" t="e">
        <f t="shared" si="13"/>
        <v>#NUM!</v>
      </c>
      <c r="AB63" t="e">
        <f t="shared" si="13"/>
        <v>#NUM!</v>
      </c>
      <c r="AC63" t="e">
        <f t="shared" si="13"/>
        <v>#NUM!</v>
      </c>
      <c r="AD63" t="e">
        <f t="shared" si="13"/>
        <v>#NUM!</v>
      </c>
      <c r="AE63" t="e">
        <f t="shared" si="13"/>
        <v>#NUM!</v>
      </c>
      <c r="AF63" t="e">
        <f t="shared" si="13"/>
        <v>#NUM!</v>
      </c>
      <c r="AG63" t="e">
        <f t="shared" si="13"/>
        <v>#NUM!</v>
      </c>
      <c r="AH63" t="e">
        <f t="shared" si="13"/>
        <v>#NUM!</v>
      </c>
      <c r="AI63" t="e">
        <f t="shared" si="13"/>
        <v>#NUM!</v>
      </c>
      <c r="AJ63" t="e">
        <f t="shared" si="13"/>
        <v>#NUM!</v>
      </c>
      <c r="AK63" t="e">
        <f t="shared" si="13"/>
        <v>#NUM!</v>
      </c>
      <c r="AL63" t="e">
        <f t="shared" ref="AL63:CM64" si="15">IF(AK$71=$T63,AK63-1,AK63)</f>
        <v>#NUM!</v>
      </c>
      <c r="AM63" t="e">
        <f t="shared" si="15"/>
        <v>#NUM!</v>
      </c>
      <c r="AN63" t="e">
        <f t="shared" si="15"/>
        <v>#NUM!</v>
      </c>
      <c r="AO63" t="e">
        <f t="shared" si="15"/>
        <v>#NUM!</v>
      </c>
      <c r="AP63" t="e">
        <f t="shared" si="15"/>
        <v>#NUM!</v>
      </c>
      <c r="AQ63" t="e">
        <f t="shared" si="15"/>
        <v>#NUM!</v>
      </c>
      <c r="AR63" t="e">
        <f t="shared" si="15"/>
        <v>#NUM!</v>
      </c>
      <c r="AS63" t="e">
        <f t="shared" si="15"/>
        <v>#NUM!</v>
      </c>
      <c r="AT63" t="e">
        <f t="shared" si="15"/>
        <v>#NUM!</v>
      </c>
      <c r="AU63" t="e">
        <f t="shared" si="15"/>
        <v>#NUM!</v>
      </c>
      <c r="AV63" t="e">
        <f t="shared" si="15"/>
        <v>#NUM!</v>
      </c>
      <c r="AW63" t="e">
        <f t="shared" si="15"/>
        <v>#NUM!</v>
      </c>
      <c r="AX63" t="e">
        <f t="shared" si="15"/>
        <v>#NUM!</v>
      </c>
      <c r="AY63" t="e">
        <f t="shared" si="15"/>
        <v>#NUM!</v>
      </c>
      <c r="AZ63" t="e">
        <f t="shared" si="15"/>
        <v>#NUM!</v>
      </c>
      <c r="BA63" t="e">
        <f t="shared" si="15"/>
        <v>#NUM!</v>
      </c>
      <c r="BB63" t="e">
        <f t="shared" si="15"/>
        <v>#NUM!</v>
      </c>
      <c r="BC63" t="e">
        <f t="shared" si="15"/>
        <v>#NUM!</v>
      </c>
      <c r="BD63" t="e">
        <f t="shared" si="15"/>
        <v>#NUM!</v>
      </c>
      <c r="BE63" t="e">
        <f t="shared" si="15"/>
        <v>#NUM!</v>
      </c>
      <c r="BF63" t="e">
        <f t="shared" si="15"/>
        <v>#NUM!</v>
      </c>
      <c r="BG63" t="e">
        <f t="shared" si="15"/>
        <v>#NUM!</v>
      </c>
      <c r="BH63" t="e">
        <f t="shared" si="15"/>
        <v>#NUM!</v>
      </c>
      <c r="BI63" t="e">
        <f t="shared" si="15"/>
        <v>#NUM!</v>
      </c>
      <c r="BJ63" t="e">
        <f t="shared" si="15"/>
        <v>#NUM!</v>
      </c>
      <c r="BK63" t="e">
        <f t="shared" si="15"/>
        <v>#NUM!</v>
      </c>
      <c r="BL63" t="e">
        <f t="shared" si="15"/>
        <v>#NUM!</v>
      </c>
      <c r="BM63" t="e">
        <f t="shared" si="15"/>
        <v>#NUM!</v>
      </c>
      <c r="BN63" t="e">
        <f t="shared" si="15"/>
        <v>#NUM!</v>
      </c>
      <c r="BO63" t="e">
        <f t="shared" si="15"/>
        <v>#NUM!</v>
      </c>
      <c r="BP63" t="e">
        <f t="shared" si="15"/>
        <v>#NUM!</v>
      </c>
      <c r="BQ63" t="e">
        <f t="shared" si="15"/>
        <v>#NUM!</v>
      </c>
      <c r="BR63" t="e">
        <f t="shared" si="15"/>
        <v>#NUM!</v>
      </c>
      <c r="BS63" t="e">
        <f t="shared" si="15"/>
        <v>#NUM!</v>
      </c>
      <c r="BT63" t="e">
        <f t="shared" si="15"/>
        <v>#NUM!</v>
      </c>
      <c r="BU63" t="e">
        <f t="shared" si="15"/>
        <v>#NUM!</v>
      </c>
      <c r="BV63" t="e">
        <f t="shared" si="15"/>
        <v>#NUM!</v>
      </c>
      <c r="BW63" t="e">
        <f t="shared" si="15"/>
        <v>#NUM!</v>
      </c>
      <c r="BX63" t="e">
        <f t="shared" si="15"/>
        <v>#NUM!</v>
      </c>
      <c r="BY63" t="e">
        <f t="shared" si="15"/>
        <v>#NUM!</v>
      </c>
      <c r="BZ63" t="e">
        <f t="shared" si="15"/>
        <v>#NUM!</v>
      </c>
      <c r="CA63" t="e">
        <f t="shared" si="15"/>
        <v>#NUM!</v>
      </c>
      <c r="CB63" t="e">
        <f t="shared" si="15"/>
        <v>#NUM!</v>
      </c>
      <c r="CC63" t="e">
        <f t="shared" si="15"/>
        <v>#NUM!</v>
      </c>
      <c r="CD63" t="e">
        <f t="shared" si="15"/>
        <v>#NUM!</v>
      </c>
      <c r="CE63" t="e">
        <f t="shared" si="15"/>
        <v>#NUM!</v>
      </c>
      <c r="CF63" t="e">
        <f t="shared" si="15"/>
        <v>#NUM!</v>
      </c>
      <c r="CG63" t="e">
        <f t="shared" si="15"/>
        <v>#NUM!</v>
      </c>
      <c r="CH63" t="e">
        <f t="shared" si="15"/>
        <v>#NUM!</v>
      </c>
      <c r="CI63" t="e">
        <f t="shared" si="15"/>
        <v>#NUM!</v>
      </c>
      <c r="CJ63" t="e">
        <f t="shared" si="15"/>
        <v>#NUM!</v>
      </c>
      <c r="CK63" t="e">
        <f t="shared" si="15"/>
        <v>#NUM!</v>
      </c>
      <c r="CL63" t="e">
        <f t="shared" si="15"/>
        <v>#NUM!</v>
      </c>
      <c r="CM63" t="e">
        <f t="shared" si="15"/>
        <v>#NUM!</v>
      </c>
      <c r="CN63" t="e">
        <f t="shared" si="11"/>
        <v>#NUM!</v>
      </c>
      <c r="CO63" t="e">
        <f t="shared" si="11"/>
        <v>#NUM!</v>
      </c>
      <c r="CP63" t="e">
        <f t="shared" si="11"/>
        <v>#NUM!</v>
      </c>
      <c r="CQ63" t="e">
        <f t="shared" si="11"/>
        <v>#NUM!</v>
      </c>
      <c r="CR63" t="e">
        <f t="shared" si="11"/>
        <v>#NUM!</v>
      </c>
      <c r="CS63" t="e">
        <f t="shared" si="11"/>
        <v>#NUM!</v>
      </c>
      <c r="CT63" t="e">
        <f t="shared" si="11"/>
        <v>#NUM!</v>
      </c>
      <c r="CU63" t="e">
        <f t="shared" si="11"/>
        <v>#NUM!</v>
      </c>
      <c r="CV63" t="e">
        <f t="shared" si="11"/>
        <v>#NUM!</v>
      </c>
      <c r="CW63" t="e">
        <f t="shared" si="11"/>
        <v>#NUM!</v>
      </c>
      <c r="CX63" t="e">
        <f t="shared" si="11"/>
        <v>#NUM!</v>
      </c>
      <c r="CY63" t="e">
        <f t="shared" si="11"/>
        <v>#NUM!</v>
      </c>
      <c r="CZ63" t="e">
        <f t="shared" si="11"/>
        <v>#NUM!</v>
      </c>
      <c r="DA63" t="e">
        <f t="shared" si="11"/>
        <v>#NUM!</v>
      </c>
      <c r="DB63" t="e">
        <f t="shared" si="11"/>
        <v>#NUM!</v>
      </c>
      <c r="DC63" t="e">
        <f t="shared" si="11"/>
        <v>#NUM!</v>
      </c>
      <c r="DD63" t="e">
        <f t="shared" si="11"/>
        <v>#NUM!</v>
      </c>
      <c r="DE63" t="e">
        <f t="shared" si="11"/>
        <v>#NUM!</v>
      </c>
      <c r="DF63" t="e">
        <f t="shared" si="11"/>
        <v>#NUM!</v>
      </c>
      <c r="DG63" t="e">
        <f t="shared" si="11"/>
        <v>#NUM!</v>
      </c>
      <c r="DH63" t="e">
        <f t="shared" si="11"/>
        <v>#NUM!</v>
      </c>
      <c r="DI63" t="e">
        <f t="shared" si="11"/>
        <v>#NUM!</v>
      </c>
      <c r="DJ63" t="e">
        <f t="shared" si="11"/>
        <v>#NUM!</v>
      </c>
      <c r="DK63" t="e">
        <f t="shared" si="11"/>
        <v>#NUM!</v>
      </c>
      <c r="DL63" t="e">
        <f t="shared" si="11"/>
        <v>#NUM!</v>
      </c>
      <c r="DM63" t="e">
        <f t="shared" si="11"/>
        <v>#NUM!</v>
      </c>
      <c r="DN63" t="e">
        <f t="shared" si="11"/>
        <v>#NUM!</v>
      </c>
      <c r="DO63" t="e">
        <f t="shared" si="11"/>
        <v>#NUM!</v>
      </c>
      <c r="DP63" t="e">
        <f t="shared" si="11"/>
        <v>#NUM!</v>
      </c>
      <c r="DQ63" t="s">
        <v>26</v>
      </c>
    </row>
    <row r="64" spans="13:121" x14ac:dyDescent="0.25">
      <c r="T64" t="s">
        <v>27</v>
      </c>
      <c r="U64">
        <f t="shared" si="12"/>
        <v>0</v>
      </c>
      <c r="V64" t="e">
        <f t="shared" si="13"/>
        <v>#NUM!</v>
      </c>
      <c r="W64" t="e">
        <f t="shared" si="13"/>
        <v>#NUM!</v>
      </c>
      <c r="X64" t="e">
        <f t="shared" si="13"/>
        <v>#NUM!</v>
      </c>
      <c r="Y64" t="e">
        <f t="shared" si="13"/>
        <v>#NUM!</v>
      </c>
      <c r="Z64" t="e">
        <f t="shared" si="13"/>
        <v>#NUM!</v>
      </c>
      <c r="AA64" t="e">
        <f t="shared" si="13"/>
        <v>#NUM!</v>
      </c>
      <c r="AB64" t="e">
        <f t="shared" si="13"/>
        <v>#NUM!</v>
      </c>
      <c r="AC64" t="e">
        <f t="shared" si="13"/>
        <v>#NUM!</v>
      </c>
      <c r="AD64" t="e">
        <f t="shared" si="13"/>
        <v>#NUM!</v>
      </c>
      <c r="AE64" t="e">
        <f t="shared" si="13"/>
        <v>#NUM!</v>
      </c>
      <c r="AF64" t="e">
        <f t="shared" si="13"/>
        <v>#NUM!</v>
      </c>
      <c r="AG64" t="e">
        <f t="shared" si="13"/>
        <v>#NUM!</v>
      </c>
      <c r="AH64" t="e">
        <f t="shared" si="13"/>
        <v>#NUM!</v>
      </c>
      <c r="AI64" t="e">
        <f t="shared" si="13"/>
        <v>#NUM!</v>
      </c>
      <c r="AJ64" t="e">
        <f t="shared" si="13"/>
        <v>#NUM!</v>
      </c>
      <c r="AK64" t="e">
        <f t="shared" si="13"/>
        <v>#NUM!</v>
      </c>
      <c r="AL64" t="e">
        <f t="shared" si="15"/>
        <v>#NUM!</v>
      </c>
      <c r="AM64" t="e">
        <f t="shared" si="15"/>
        <v>#NUM!</v>
      </c>
      <c r="AN64" t="e">
        <f t="shared" si="15"/>
        <v>#NUM!</v>
      </c>
      <c r="AO64" t="e">
        <f t="shared" si="15"/>
        <v>#NUM!</v>
      </c>
      <c r="AP64" t="e">
        <f t="shared" si="15"/>
        <v>#NUM!</v>
      </c>
      <c r="AQ64" t="e">
        <f t="shared" si="15"/>
        <v>#NUM!</v>
      </c>
      <c r="AR64" t="e">
        <f t="shared" si="15"/>
        <v>#NUM!</v>
      </c>
      <c r="AS64" t="e">
        <f t="shared" si="15"/>
        <v>#NUM!</v>
      </c>
      <c r="AT64" t="e">
        <f t="shared" si="15"/>
        <v>#NUM!</v>
      </c>
      <c r="AU64" t="e">
        <f t="shared" si="15"/>
        <v>#NUM!</v>
      </c>
      <c r="AV64" t="e">
        <f t="shared" si="15"/>
        <v>#NUM!</v>
      </c>
      <c r="AW64" t="e">
        <f t="shared" si="15"/>
        <v>#NUM!</v>
      </c>
      <c r="AX64" t="e">
        <f t="shared" si="15"/>
        <v>#NUM!</v>
      </c>
      <c r="AY64" t="e">
        <f t="shared" si="15"/>
        <v>#NUM!</v>
      </c>
      <c r="AZ64" t="e">
        <f t="shared" si="15"/>
        <v>#NUM!</v>
      </c>
      <c r="BA64" t="e">
        <f t="shared" si="15"/>
        <v>#NUM!</v>
      </c>
      <c r="BB64" t="e">
        <f t="shared" si="15"/>
        <v>#NUM!</v>
      </c>
      <c r="BC64" t="e">
        <f t="shared" si="15"/>
        <v>#NUM!</v>
      </c>
      <c r="BD64" t="e">
        <f t="shared" si="15"/>
        <v>#NUM!</v>
      </c>
      <c r="BE64" t="e">
        <f t="shared" si="15"/>
        <v>#NUM!</v>
      </c>
      <c r="BF64" t="e">
        <f t="shared" si="15"/>
        <v>#NUM!</v>
      </c>
      <c r="BG64" t="e">
        <f t="shared" si="15"/>
        <v>#NUM!</v>
      </c>
      <c r="BH64" t="e">
        <f t="shared" si="15"/>
        <v>#NUM!</v>
      </c>
      <c r="BI64" t="e">
        <f t="shared" si="15"/>
        <v>#NUM!</v>
      </c>
      <c r="BJ64" t="e">
        <f t="shared" si="15"/>
        <v>#NUM!</v>
      </c>
      <c r="BK64" t="e">
        <f t="shared" si="15"/>
        <v>#NUM!</v>
      </c>
      <c r="BL64" t="e">
        <f t="shared" si="15"/>
        <v>#NUM!</v>
      </c>
      <c r="BM64" t="e">
        <f t="shared" si="15"/>
        <v>#NUM!</v>
      </c>
      <c r="BN64" t="e">
        <f t="shared" si="15"/>
        <v>#NUM!</v>
      </c>
      <c r="BO64" t="e">
        <f t="shared" si="15"/>
        <v>#NUM!</v>
      </c>
      <c r="BP64" t="e">
        <f t="shared" si="15"/>
        <v>#NUM!</v>
      </c>
      <c r="BQ64" t="e">
        <f t="shared" si="15"/>
        <v>#NUM!</v>
      </c>
      <c r="BR64" t="e">
        <f t="shared" si="15"/>
        <v>#NUM!</v>
      </c>
      <c r="BS64" t="e">
        <f t="shared" si="15"/>
        <v>#NUM!</v>
      </c>
      <c r="BT64" t="e">
        <f t="shared" si="15"/>
        <v>#NUM!</v>
      </c>
      <c r="BU64" t="e">
        <f t="shared" si="15"/>
        <v>#NUM!</v>
      </c>
      <c r="BV64" t="e">
        <f t="shared" si="15"/>
        <v>#NUM!</v>
      </c>
      <c r="BW64" t="e">
        <f t="shared" si="15"/>
        <v>#NUM!</v>
      </c>
      <c r="BX64" t="e">
        <f t="shared" si="15"/>
        <v>#NUM!</v>
      </c>
      <c r="BY64" t="e">
        <f t="shared" si="15"/>
        <v>#NUM!</v>
      </c>
      <c r="BZ64" t="e">
        <f t="shared" si="15"/>
        <v>#NUM!</v>
      </c>
      <c r="CA64" t="e">
        <f t="shared" si="15"/>
        <v>#NUM!</v>
      </c>
      <c r="CB64" t="e">
        <f t="shared" si="15"/>
        <v>#NUM!</v>
      </c>
      <c r="CC64" t="e">
        <f t="shared" si="15"/>
        <v>#NUM!</v>
      </c>
      <c r="CD64" t="e">
        <f t="shared" si="15"/>
        <v>#NUM!</v>
      </c>
      <c r="CE64" t="e">
        <f t="shared" si="15"/>
        <v>#NUM!</v>
      </c>
      <c r="CF64" t="e">
        <f t="shared" si="15"/>
        <v>#NUM!</v>
      </c>
      <c r="CG64" t="e">
        <f t="shared" si="15"/>
        <v>#NUM!</v>
      </c>
      <c r="CH64" t="e">
        <f t="shared" si="15"/>
        <v>#NUM!</v>
      </c>
      <c r="CI64" t="e">
        <f t="shared" si="15"/>
        <v>#NUM!</v>
      </c>
      <c r="CJ64" t="e">
        <f t="shared" si="15"/>
        <v>#NUM!</v>
      </c>
      <c r="CK64" t="e">
        <f t="shared" si="15"/>
        <v>#NUM!</v>
      </c>
      <c r="CL64" t="e">
        <f t="shared" si="15"/>
        <v>#NUM!</v>
      </c>
      <c r="CM64" t="e">
        <f t="shared" si="15"/>
        <v>#NUM!</v>
      </c>
      <c r="CN64" t="e">
        <f t="shared" si="11"/>
        <v>#NUM!</v>
      </c>
      <c r="CO64" t="e">
        <f t="shared" si="11"/>
        <v>#NUM!</v>
      </c>
      <c r="CP64" t="e">
        <f t="shared" si="11"/>
        <v>#NUM!</v>
      </c>
      <c r="CQ64" t="e">
        <f t="shared" si="11"/>
        <v>#NUM!</v>
      </c>
      <c r="CR64" t="e">
        <f t="shared" si="11"/>
        <v>#NUM!</v>
      </c>
      <c r="CS64" t="e">
        <f t="shared" si="11"/>
        <v>#NUM!</v>
      </c>
      <c r="CT64" t="e">
        <f t="shared" si="11"/>
        <v>#NUM!</v>
      </c>
      <c r="CU64" t="e">
        <f t="shared" si="11"/>
        <v>#NUM!</v>
      </c>
      <c r="CV64" t="e">
        <f t="shared" si="11"/>
        <v>#NUM!</v>
      </c>
      <c r="CW64" t="e">
        <f t="shared" si="11"/>
        <v>#NUM!</v>
      </c>
      <c r="CX64" t="e">
        <f t="shared" si="11"/>
        <v>#NUM!</v>
      </c>
      <c r="CY64" t="e">
        <f t="shared" si="11"/>
        <v>#NUM!</v>
      </c>
      <c r="CZ64" t="e">
        <f t="shared" si="11"/>
        <v>#NUM!</v>
      </c>
      <c r="DA64" t="e">
        <f t="shared" si="11"/>
        <v>#NUM!</v>
      </c>
      <c r="DB64" t="e">
        <f t="shared" si="11"/>
        <v>#NUM!</v>
      </c>
      <c r="DC64" t="e">
        <f t="shared" si="11"/>
        <v>#NUM!</v>
      </c>
      <c r="DD64" t="e">
        <f t="shared" si="11"/>
        <v>#NUM!</v>
      </c>
      <c r="DE64" t="e">
        <f t="shared" si="11"/>
        <v>#NUM!</v>
      </c>
      <c r="DF64" t="e">
        <f t="shared" si="11"/>
        <v>#NUM!</v>
      </c>
      <c r="DG64" t="e">
        <f t="shared" si="11"/>
        <v>#NUM!</v>
      </c>
      <c r="DH64" t="e">
        <f t="shared" si="11"/>
        <v>#NUM!</v>
      </c>
      <c r="DI64" t="e">
        <f t="shared" si="11"/>
        <v>#NUM!</v>
      </c>
      <c r="DJ64" t="e">
        <f t="shared" si="11"/>
        <v>#NUM!</v>
      </c>
      <c r="DK64" t="e">
        <f t="shared" si="11"/>
        <v>#NUM!</v>
      </c>
      <c r="DL64" t="e">
        <f t="shared" si="11"/>
        <v>#NUM!</v>
      </c>
      <c r="DM64" t="e">
        <f t="shared" si="11"/>
        <v>#NUM!</v>
      </c>
      <c r="DN64" t="e">
        <f t="shared" si="11"/>
        <v>#NUM!</v>
      </c>
      <c r="DO64" t="e">
        <f t="shared" si="11"/>
        <v>#NUM!</v>
      </c>
      <c r="DP64" t="e">
        <f t="shared" si="11"/>
        <v>#NUM!</v>
      </c>
      <c r="DQ64" t="s">
        <v>27</v>
      </c>
    </row>
    <row r="66" spans="20:121" x14ac:dyDescent="0.25">
      <c r="T66" t="s">
        <v>15</v>
      </c>
      <c r="U66">
        <f>Q55</f>
        <v>0</v>
      </c>
      <c r="V66">
        <f>IF(U$73=$T66,U66-1,U66)</f>
        <v>-1</v>
      </c>
      <c r="W66">
        <f>IF(V$73=$T66,V66-1,V66)</f>
        <v>-1</v>
      </c>
      <c r="X66">
        <f t="shared" ref="X66:CI68" si="16">IF(W$73=$T66,W66-1,W66)</f>
        <v>-1</v>
      </c>
      <c r="Y66">
        <f t="shared" si="16"/>
        <v>-2</v>
      </c>
      <c r="Z66">
        <f t="shared" si="16"/>
        <v>-2</v>
      </c>
      <c r="AA66">
        <f t="shared" si="16"/>
        <v>-2</v>
      </c>
      <c r="AB66">
        <f t="shared" si="16"/>
        <v>-3</v>
      </c>
      <c r="AC66">
        <f t="shared" si="16"/>
        <v>-3</v>
      </c>
      <c r="AD66">
        <f t="shared" si="16"/>
        <v>-3</v>
      </c>
      <c r="AE66">
        <f t="shared" si="16"/>
        <v>-4</v>
      </c>
      <c r="AF66">
        <f t="shared" si="16"/>
        <v>-4</v>
      </c>
      <c r="AG66">
        <f t="shared" si="16"/>
        <v>-4</v>
      </c>
      <c r="AH66">
        <f t="shared" si="16"/>
        <v>-5</v>
      </c>
      <c r="AI66">
        <f t="shared" si="16"/>
        <v>-5</v>
      </c>
      <c r="AJ66">
        <f t="shared" si="16"/>
        <v>-5</v>
      </c>
      <c r="AK66">
        <f t="shared" si="16"/>
        <v>-6</v>
      </c>
      <c r="AL66">
        <f t="shared" si="16"/>
        <v>-6</v>
      </c>
      <c r="AM66">
        <f t="shared" si="16"/>
        <v>-6</v>
      </c>
      <c r="AN66">
        <f t="shared" si="16"/>
        <v>-7</v>
      </c>
      <c r="AO66">
        <f t="shared" si="16"/>
        <v>-7</v>
      </c>
      <c r="AP66">
        <f t="shared" si="16"/>
        <v>-7</v>
      </c>
      <c r="AQ66">
        <f t="shared" si="16"/>
        <v>-8</v>
      </c>
      <c r="AR66">
        <f t="shared" si="16"/>
        <v>-8</v>
      </c>
      <c r="AS66">
        <f t="shared" si="16"/>
        <v>-8</v>
      </c>
      <c r="AT66">
        <f t="shared" si="16"/>
        <v>-9</v>
      </c>
      <c r="AU66">
        <f t="shared" si="16"/>
        <v>-9</v>
      </c>
      <c r="AV66">
        <f t="shared" si="16"/>
        <v>-9</v>
      </c>
      <c r="AW66">
        <f t="shared" si="16"/>
        <v>-10</v>
      </c>
      <c r="AX66">
        <f t="shared" si="16"/>
        <v>-10</v>
      </c>
      <c r="AY66">
        <f t="shared" si="16"/>
        <v>-10</v>
      </c>
      <c r="AZ66">
        <f t="shared" si="16"/>
        <v>-11</v>
      </c>
      <c r="BA66">
        <f t="shared" si="16"/>
        <v>-11</v>
      </c>
      <c r="BB66">
        <f t="shared" si="16"/>
        <v>-11</v>
      </c>
      <c r="BC66">
        <f t="shared" si="16"/>
        <v>-12</v>
      </c>
      <c r="BD66">
        <f t="shared" si="16"/>
        <v>-12</v>
      </c>
      <c r="BE66">
        <f t="shared" si="16"/>
        <v>-12</v>
      </c>
      <c r="BF66">
        <f t="shared" si="16"/>
        <v>-13</v>
      </c>
      <c r="BG66">
        <f t="shared" si="16"/>
        <v>-13</v>
      </c>
      <c r="BH66">
        <f t="shared" si="16"/>
        <v>-13</v>
      </c>
      <c r="BI66">
        <f t="shared" si="16"/>
        <v>-14</v>
      </c>
      <c r="BJ66">
        <f t="shared" si="16"/>
        <v>-14</v>
      </c>
      <c r="BK66">
        <f t="shared" si="16"/>
        <v>-14</v>
      </c>
      <c r="BL66">
        <f t="shared" si="16"/>
        <v>-15</v>
      </c>
      <c r="BM66">
        <f t="shared" si="16"/>
        <v>-15</v>
      </c>
      <c r="BN66">
        <f t="shared" si="16"/>
        <v>-15</v>
      </c>
      <c r="BO66">
        <f t="shared" si="16"/>
        <v>-16</v>
      </c>
      <c r="BP66">
        <f t="shared" si="16"/>
        <v>-16</v>
      </c>
      <c r="BQ66">
        <f t="shared" si="16"/>
        <v>-16</v>
      </c>
      <c r="BR66">
        <f t="shared" si="16"/>
        <v>-17</v>
      </c>
      <c r="BS66">
        <f t="shared" si="16"/>
        <v>-17</v>
      </c>
      <c r="BT66">
        <f t="shared" si="16"/>
        <v>-17</v>
      </c>
      <c r="BU66">
        <f t="shared" si="16"/>
        <v>-18</v>
      </c>
      <c r="BV66">
        <f t="shared" si="16"/>
        <v>-18</v>
      </c>
      <c r="BW66">
        <f t="shared" si="16"/>
        <v>-18</v>
      </c>
      <c r="BX66">
        <f t="shared" si="16"/>
        <v>-19</v>
      </c>
      <c r="BY66">
        <f t="shared" si="16"/>
        <v>-19</v>
      </c>
      <c r="BZ66">
        <f t="shared" si="16"/>
        <v>-19</v>
      </c>
      <c r="CA66">
        <f t="shared" si="16"/>
        <v>-20</v>
      </c>
      <c r="CB66">
        <f t="shared" si="16"/>
        <v>-20</v>
      </c>
      <c r="CC66">
        <f t="shared" si="16"/>
        <v>-20</v>
      </c>
      <c r="CD66">
        <f t="shared" si="16"/>
        <v>-21</v>
      </c>
      <c r="CE66">
        <f t="shared" si="16"/>
        <v>-21</v>
      </c>
      <c r="CF66">
        <f t="shared" si="16"/>
        <v>-21</v>
      </c>
      <c r="CG66">
        <f t="shared" si="16"/>
        <v>-22</v>
      </c>
      <c r="CH66">
        <f t="shared" si="16"/>
        <v>-22</v>
      </c>
      <c r="CI66">
        <f t="shared" si="16"/>
        <v>-22</v>
      </c>
      <c r="CJ66">
        <f t="shared" ref="CJ66:DP68" si="17">IF(CI$73=$T66,CI66-1,CI66)</f>
        <v>-23</v>
      </c>
      <c r="CK66">
        <f t="shared" si="17"/>
        <v>-23</v>
      </c>
      <c r="CL66">
        <f t="shared" si="17"/>
        <v>-23</v>
      </c>
      <c r="CM66">
        <f t="shared" si="17"/>
        <v>-24</v>
      </c>
      <c r="CN66">
        <f t="shared" si="17"/>
        <v>-24</v>
      </c>
      <c r="CO66">
        <f t="shared" si="17"/>
        <v>-24</v>
      </c>
      <c r="CP66">
        <f t="shared" si="17"/>
        <v>-25</v>
      </c>
      <c r="CQ66">
        <f t="shared" si="17"/>
        <v>-25</v>
      </c>
      <c r="CR66">
        <f t="shared" si="17"/>
        <v>-25</v>
      </c>
      <c r="CS66">
        <f t="shared" si="17"/>
        <v>-26</v>
      </c>
      <c r="CT66">
        <f t="shared" si="17"/>
        <v>-26</v>
      </c>
      <c r="CU66">
        <f t="shared" si="17"/>
        <v>-26</v>
      </c>
      <c r="CV66">
        <f t="shared" si="17"/>
        <v>-27</v>
      </c>
      <c r="CW66">
        <f t="shared" si="17"/>
        <v>-27</v>
      </c>
      <c r="CX66">
        <f t="shared" si="17"/>
        <v>-27</v>
      </c>
      <c r="CY66">
        <f t="shared" si="17"/>
        <v>-28</v>
      </c>
      <c r="CZ66">
        <f t="shared" si="17"/>
        <v>-28</v>
      </c>
      <c r="DA66">
        <f t="shared" si="17"/>
        <v>-28</v>
      </c>
      <c r="DB66">
        <f t="shared" si="17"/>
        <v>-29</v>
      </c>
      <c r="DC66">
        <f t="shared" si="17"/>
        <v>-29</v>
      </c>
      <c r="DD66">
        <f t="shared" si="17"/>
        <v>-29</v>
      </c>
      <c r="DE66">
        <f t="shared" si="17"/>
        <v>-30</v>
      </c>
      <c r="DF66">
        <f t="shared" si="17"/>
        <v>-30</v>
      </c>
      <c r="DG66">
        <f t="shared" si="17"/>
        <v>-30</v>
      </c>
      <c r="DH66">
        <f t="shared" si="17"/>
        <v>-31</v>
      </c>
      <c r="DI66">
        <f t="shared" si="17"/>
        <v>-31</v>
      </c>
      <c r="DJ66">
        <f t="shared" si="17"/>
        <v>-31</v>
      </c>
      <c r="DK66">
        <f t="shared" si="17"/>
        <v>-32</v>
      </c>
      <c r="DL66">
        <f t="shared" si="17"/>
        <v>-32</v>
      </c>
      <c r="DM66">
        <f t="shared" si="17"/>
        <v>-32</v>
      </c>
      <c r="DN66">
        <f t="shared" si="17"/>
        <v>-33</v>
      </c>
      <c r="DO66">
        <f t="shared" si="17"/>
        <v>-33</v>
      </c>
      <c r="DP66">
        <f t="shared" si="17"/>
        <v>-33</v>
      </c>
      <c r="DQ66" t="s">
        <v>15</v>
      </c>
    </row>
    <row r="67" spans="20:121" x14ac:dyDescent="0.25">
      <c r="T67" t="s">
        <v>17</v>
      </c>
      <c r="U67">
        <f t="shared" ref="U67:U68" si="18">Q56</f>
        <v>0</v>
      </c>
      <c r="V67">
        <f t="shared" ref="V67:W68" si="19">IF(U$73=$T67,U67-1,U67)</f>
        <v>0</v>
      </c>
      <c r="W67">
        <f t="shared" si="19"/>
        <v>-1</v>
      </c>
      <c r="X67">
        <f t="shared" si="16"/>
        <v>-1</v>
      </c>
      <c r="Y67">
        <f t="shared" si="16"/>
        <v>-1</v>
      </c>
      <c r="Z67">
        <f t="shared" si="16"/>
        <v>-2</v>
      </c>
      <c r="AA67">
        <f t="shared" si="16"/>
        <v>-2</v>
      </c>
      <c r="AB67">
        <f t="shared" si="16"/>
        <v>-2</v>
      </c>
      <c r="AC67">
        <f t="shared" si="16"/>
        <v>-3</v>
      </c>
      <c r="AD67">
        <f t="shared" si="16"/>
        <v>-3</v>
      </c>
      <c r="AE67">
        <f t="shared" si="16"/>
        <v>-3</v>
      </c>
      <c r="AF67">
        <f t="shared" si="16"/>
        <v>-4</v>
      </c>
      <c r="AG67">
        <f t="shared" si="16"/>
        <v>-4</v>
      </c>
      <c r="AH67">
        <f t="shared" si="16"/>
        <v>-4</v>
      </c>
      <c r="AI67">
        <f t="shared" si="16"/>
        <v>-5</v>
      </c>
      <c r="AJ67">
        <f t="shared" si="16"/>
        <v>-5</v>
      </c>
      <c r="AK67">
        <f t="shared" si="16"/>
        <v>-5</v>
      </c>
      <c r="AL67">
        <f t="shared" si="16"/>
        <v>-6</v>
      </c>
      <c r="AM67">
        <f t="shared" si="16"/>
        <v>-6</v>
      </c>
      <c r="AN67">
        <f t="shared" si="16"/>
        <v>-6</v>
      </c>
      <c r="AO67">
        <f t="shared" si="16"/>
        <v>-7</v>
      </c>
      <c r="AP67">
        <f t="shared" si="16"/>
        <v>-7</v>
      </c>
      <c r="AQ67">
        <f t="shared" si="16"/>
        <v>-7</v>
      </c>
      <c r="AR67">
        <f t="shared" si="16"/>
        <v>-8</v>
      </c>
      <c r="AS67">
        <f t="shared" si="16"/>
        <v>-8</v>
      </c>
      <c r="AT67">
        <f t="shared" si="16"/>
        <v>-8</v>
      </c>
      <c r="AU67">
        <f t="shared" si="16"/>
        <v>-9</v>
      </c>
      <c r="AV67">
        <f t="shared" si="16"/>
        <v>-9</v>
      </c>
      <c r="AW67">
        <f t="shared" si="16"/>
        <v>-9</v>
      </c>
      <c r="AX67">
        <f t="shared" si="16"/>
        <v>-10</v>
      </c>
      <c r="AY67">
        <f t="shared" si="16"/>
        <v>-10</v>
      </c>
      <c r="AZ67">
        <f t="shared" si="16"/>
        <v>-10</v>
      </c>
      <c r="BA67">
        <f t="shared" si="16"/>
        <v>-11</v>
      </c>
      <c r="BB67">
        <f t="shared" si="16"/>
        <v>-11</v>
      </c>
      <c r="BC67">
        <f t="shared" si="16"/>
        <v>-11</v>
      </c>
      <c r="BD67">
        <f t="shared" si="16"/>
        <v>-12</v>
      </c>
      <c r="BE67">
        <f t="shared" si="16"/>
        <v>-12</v>
      </c>
      <c r="BF67">
        <f t="shared" si="16"/>
        <v>-12</v>
      </c>
      <c r="BG67">
        <f t="shared" si="16"/>
        <v>-13</v>
      </c>
      <c r="BH67">
        <f t="shared" si="16"/>
        <v>-13</v>
      </c>
      <c r="BI67">
        <f t="shared" si="16"/>
        <v>-13</v>
      </c>
      <c r="BJ67">
        <f t="shared" si="16"/>
        <v>-14</v>
      </c>
      <c r="BK67">
        <f t="shared" si="16"/>
        <v>-14</v>
      </c>
      <c r="BL67">
        <f t="shared" si="16"/>
        <v>-14</v>
      </c>
      <c r="BM67">
        <f t="shared" si="16"/>
        <v>-15</v>
      </c>
      <c r="BN67">
        <f t="shared" si="16"/>
        <v>-15</v>
      </c>
      <c r="BO67">
        <f t="shared" si="16"/>
        <v>-15</v>
      </c>
      <c r="BP67">
        <f t="shared" si="16"/>
        <v>-16</v>
      </c>
      <c r="BQ67">
        <f t="shared" si="16"/>
        <v>-16</v>
      </c>
      <c r="BR67">
        <f t="shared" si="16"/>
        <v>-16</v>
      </c>
      <c r="BS67">
        <f t="shared" si="16"/>
        <v>-17</v>
      </c>
      <c r="BT67">
        <f t="shared" si="16"/>
        <v>-17</v>
      </c>
      <c r="BU67">
        <f t="shared" si="16"/>
        <v>-17</v>
      </c>
      <c r="BV67">
        <f t="shared" si="16"/>
        <v>-18</v>
      </c>
      <c r="BW67">
        <f t="shared" si="16"/>
        <v>-18</v>
      </c>
      <c r="BX67">
        <f t="shared" si="16"/>
        <v>-18</v>
      </c>
      <c r="BY67">
        <f t="shared" si="16"/>
        <v>-19</v>
      </c>
      <c r="BZ67">
        <f t="shared" si="16"/>
        <v>-19</v>
      </c>
      <c r="CA67">
        <f t="shared" si="16"/>
        <v>-19</v>
      </c>
      <c r="CB67">
        <f t="shared" si="16"/>
        <v>-20</v>
      </c>
      <c r="CC67">
        <f t="shared" si="16"/>
        <v>-20</v>
      </c>
      <c r="CD67">
        <f t="shared" si="16"/>
        <v>-20</v>
      </c>
      <c r="CE67">
        <f t="shared" si="16"/>
        <v>-21</v>
      </c>
      <c r="CF67">
        <f t="shared" si="16"/>
        <v>-21</v>
      </c>
      <c r="CG67">
        <f t="shared" si="16"/>
        <v>-21</v>
      </c>
      <c r="CH67">
        <f t="shared" si="16"/>
        <v>-22</v>
      </c>
      <c r="CI67">
        <f t="shared" si="16"/>
        <v>-22</v>
      </c>
      <c r="CJ67">
        <f t="shared" si="17"/>
        <v>-22</v>
      </c>
      <c r="CK67">
        <f t="shared" si="17"/>
        <v>-23</v>
      </c>
      <c r="CL67">
        <f t="shared" si="17"/>
        <v>-23</v>
      </c>
      <c r="CM67">
        <f t="shared" si="17"/>
        <v>-23</v>
      </c>
      <c r="CN67">
        <f t="shared" si="17"/>
        <v>-24</v>
      </c>
      <c r="CO67">
        <f t="shared" si="17"/>
        <v>-24</v>
      </c>
      <c r="CP67">
        <f t="shared" si="17"/>
        <v>-24</v>
      </c>
      <c r="CQ67">
        <f t="shared" si="17"/>
        <v>-25</v>
      </c>
      <c r="CR67">
        <f t="shared" si="17"/>
        <v>-25</v>
      </c>
      <c r="CS67">
        <f t="shared" si="17"/>
        <v>-25</v>
      </c>
      <c r="CT67">
        <f t="shared" si="17"/>
        <v>-26</v>
      </c>
      <c r="CU67">
        <f t="shared" si="17"/>
        <v>-26</v>
      </c>
      <c r="CV67">
        <f t="shared" si="17"/>
        <v>-26</v>
      </c>
      <c r="CW67">
        <f t="shared" si="17"/>
        <v>-27</v>
      </c>
      <c r="CX67">
        <f t="shared" si="17"/>
        <v>-27</v>
      </c>
      <c r="CY67">
        <f t="shared" si="17"/>
        <v>-27</v>
      </c>
      <c r="CZ67">
        <f t="shared" si="17"/>
        <v>-28</v>
      </c>
      <c r="DA67">
        <f t="shared" si="17"/>
        <v>-28</v>
      </c>
      <c r="DB67">
        <f t="shared" si="17"/>
        <v>-28</v>
      </c>
      <c r="DC67">
        <f t="shared" si="17"/>
        <v>-29</v>
      </c>
      <c r="DD67">
        <f t="shared" si="17"/>
        <v>-29</v>
      </c>
      <c r="DE67">
        <f t="shared" si="17"/>
        <v>-29</v>
      </c>
      <c r="DF67">
        <f t="shared" si="17"/>
        <v>-30</v>
      </c>
      <c r="DG67">
        <f t="shared" si="17"/>
        <v>-30</v>
      </c>
      <c r="DH67">
        <f t="shared" si="17"/>
        <v>-30</v>
      </c>
      <c r="DI67">
        <f t="shared" si="17"/>
        <v>-31</v>
      </c>
      <c r="DJ67">
        <f t="shared" si="17"/>
        <v>-31</v>
      </c>
      <c r="DK67">
        <f t="shared" si="17"/>
        <v>-31</v>
      </c>
      <c r="DL67">
        <f t="shared" si="17"/>
        <v>-32</v>
      </c>
      <c r="DM67">
        <f t="shared" si="17"/>
        <v>-32</v>
      </c>
      <c r="DN67">
        <f t="shared" si="17"/>
        <v>-32</v>
      </c>
      <c r="DO67">
        <f t="shared" si="17"/>
        <v>-33</v>
      </c>
      <c r="DP67">
        <f t="shared" si="17"/>
        <v>-33</v>
      </c>
      <c r="DQ67" t="s">
        <v>17</v>
      </c>
    </row>
    <row r="68" spans="20:121" x14ac:dyDescent="0.25">
      <c r="T68" t="s">
        <v>19</v>
      </c>
      <c r="U68">
        <f t="shared" si="18"/>
        <v>0</v>
      </c>
      <c r="V68">
        <f t="shared" si="19"/>
        <v>0</v>
      </c>
      <c r="W68">
        <f t="shared" si="19"/>
        <v>0</v>
      </c>
      <c r="X68">
        <f t="shared" si="16"/>
        <v>-1</v>
      </c>
      <c r="Y68">
        <f t="shared" si="16"/>
        <v>-1</v>
      </c>
      <c r="Z68">
        <f t="shared" si="16"/>
        <v>-1</v>
      </c>
      <c r="AA68">
        <f t="shared" si="16"/>
        <v>-2</v>
      </c>
      <c r="AB68">
        <f t="shared" si="16"/>
        <v>-2</v>
      </c>
      <c r="AC68">
        <f t="shared" si="16"/>
        <v>-2</v>
      </c>
      <c r="AD68">
        <f t="shared" si="16"/>
        <v>-3</v>
      </c>
      <c r="AE68">
        <f t="shared" si="16"/>
        <v>-3</v>
      </c>
      <c r="AF68">
        <f t="shared" si="16"/>
        <v>-3</v>
      </c>
      <c r="AG68">
        <f t="shared" si="16"/>
        <v>-4</v>
      </c>
      <c r="AH68">
        <f t="shared" si="16"/>
        <v>-4</v>
      </c>
      <c r="AI68">
        <f t="shared" si="16"/>
        <v>-4</v>
      </c>
      <c r="AJ68">
        <f t="shared" si="16"/>
        <v>-5</v>
      </c>
      <c r="AK68">
        <f t="shared" si="16"/>
        <v>-5</v>
      </c>
      <c r="AL68">
        <f t="shared" si="16"/>
        <v>-5</v>
      </c>
      <c r="AM68">
        <f t="shared" si="16"/>
        <v>-6</v>
      </c>
      <c r="AN68">
        <f t="shared" si="16"/>
        <v>-6</v>
      </c>
      <c r="AO68">
        <f t="shared" si="16"/>
        <v>-6</v>
      </c>
      <c r="AP68">
        <f t="shared" si="16"/>
        <v>-7</v>
      </c>
      <c r="AQ68">
        <f t="shared" si="16"/>
        <v>-7</v>
      </c>
      <c r="AR68">
        <f t="shared" si="16"/>
        <v>-7</v>
      </c>
      <c r="AS68">
        <f t="shared" si="16"/>
        <v>-8</v>
      </c>
      <c r="AT68">
        <f t="shared" si="16"/>
        <v>-8</v>
      </c>
      <c r="AU68">
        <f t="shared" si="16"/>
        <v>-8</v>
      </c>
      <c r="AV68">
        <f t="shared" si="16"/>
        <v>-9</v>
      </c>
      <c r="AW68">
        <f t="shared" si="16"/>
        <v>-9</v>
      </c>
      <c r="AX68">
        <f t="shared" si="16"/>
        <v>-9</v>
      </c>
      <c r="AY68">
        <f t="shared" si="16"/>
        <v>-10</v>
      </c>
      <c r="AZ68">
        <f t="shared" si="16"/>
        <v>-10</v>
      </c>
      <c r="BA68">
        <f t="shared" si="16"/>
        <v>-10</v>
      </c>
      <c r="BB68">
        <f t="shared" si="16"/>
        <v>-11</v>
      </c>
      <c r="BC68">
        <f t="shared" si="16"/>
        <v>-11</v>
      </c>
      <c r="BD68">
        <f t="shared" si="16"/>
        <v>-11</v>
      </c>
      <c r="BE68">
        <f t="shared" si="16"/>
        <v>-12</v>
      </c>
      <c r="BF68">
        <f t="shared" si="16"/>
        <v>-12</v>
      </c>
      <c r="BG68">
        <f t="shared" si="16"/>
        <v>-12</v>
      </c>
      <c r="BH68">
        <f t="shared" si="16"/>
        <v>-13</v>
      </c>
      <c r="BI68">
        <f t="shared" si="16"/>
        <v>-13</v>
      </c>
      <c r="BJ68">
        <f t="shared" si="16"/>
        <v>-13</v>
      </c>
      <c r="BK68">
        <f t="shared" si="16"/>
        <v>-14</v>
      </c>
      <c r="BL68">
        <f t="shared" si="16"/>
        <v>-14</v>
      </c>
      <c r="BM68">
        <f t="shared" si="16"/>
        <v>-14</v>
      </c>
      <c r="BN68">
        <f t="shared" si="16"/>
        <v>-15</v>
      </c>
      <c r="BO68">
        <f t="shared" si="16"/>
        <v>-15</v>
      </c>
      <c r="BP68">
        <f t="shared" si="16"/>
        <v>-15</v>
      </c>
      <c r="BQ68">
        <f t="shared" si="16"/>
        <v>-16</v>
      </c>
      <c r="BR68">
        <f t="shared" si="16"/>
        <v>-16</v>
      </c>
      <c r="BS68">
        <f t="shared" si="16"/>
        <v>-16</v>
      </c>
      <c r="BT68">
        <f t="shared" si="16"/>
        <v>-17</v>
      </c>
      <c r="BU68">
        <f t="shared" si="16"/>
        <v>-17</v>
      </c>
      <c r="BV68">
        <f t="shared" si="16"/>
        <v>-17</v>
      </c>
      <c r="BW68">
        <f t="shared" si="16"/>
        <v>-18</v>
      </c>
      <c r="BX68">
        <f t="shared" si="16"/>
        <v>-18</v>
      </c>
      <c r="BY68">
        <f t="shared" si="16"/>
        <v>-18</v>
      </c>
      <c r="BZ68">
        <f t="shared" si="16"/>
        <v>-19</v>
      </c>
      <c r="CA68">
        <f t="shared" si="16"/>
        <v>-19</v>
      </c>
      <c r="CB68">
        <f t="shared" si="16"/>
        <v>-19</v>
      </c>
      <c r="CC68">
        <f t="shared" si="16"/>
        <v>-20</v>
      </c>
      <c r="CD68">
        <f t="shared" si="16"/>
        <v>-20</v>
      </c>
      <c r="CE68">
        <f t="shared" si="16"/>
        <v>-20</v>
      </c>
      <c r="CF68">
        <f t="shared" si="16"/>
        <v>-21</v>
      </c>
      <c r="CG68">
        <f t="shared" si="16"/>
        <v>-21</v>
      </c>
      <c r="CH68">
        <f t="shared" si="16"/>
        <v>-21</v>
      </c>
      <c r="CI68">
        <f t="shared" si="16"/>
        <v>-22</v>
      </c>
      <c r="CJ68">
        <f t="shared" si="17"/>
        <v>-22</v>
      </c>
      <c r="CK68">
        <f t="shared" si="17"/>
        <v>-22</v>
      </c>
      <c r="CL68">
        <f t="shared" si="17"/>
        <v>-23</v>
      </c>
      <c r="CM68">
        <f t="shared" si="17"/>
        <v>-23</v>
      </c>
      <c r="CN68">
        <f t="shared" si="17"/>
        <v>-23</v>
      </c>
      <c r="CO68">
        <f t="shared" si="17"/>
        <v>-24</v>
      </c>
      <c r="CP68">
        <f t="shared" si="17"/>
        <v>-24</v>
      </c>
      <c r="CQ68">
        <f t="shared" si="17"/>
        <v>-24</v>
      </c>
      <c r="CR68">
        <f t="shared" si="17"/>
        <v>-25</v>
      </c>
      <c r="CS68">
        <f t="shared" si="17"/>
        <v>-25</v>
      </c>
      <c r="CT68">
        <f t="shared" si="17"/>
        <v>-25</v>
      </c>
      <c r="CU68">
        <f t="shared" si="17"/>
        <v>-26</v>
      </c>
      <c r="CV68">
        <f t="shared" si="17"/>
        <v>-26</v>
      </c>
      <c r="CW68">
        <f t="shared" si="17"/>
        <v>-26</v>
      </c>
      <c r="CX68">
        <f t="shared" si="17"/>
        <v>-27</v>
      </c>
      <c r="CY68">
        <f t="shared" si="17"/>
        <v>-27</v>
      </c>
      <c r="CZ68">
        <f t="shared" si="17"/>
        <v>-27</v>
      </c>
      <c r="DA68">
        <f t="shared" si="17"/>
        <v>-28</v>
      </c>
      <c r="DB68">
        <f t="shared" si="17"/>
        <v>-28</v>
      </c>
      <c r="DC68">
        <f t="shared" si="17"/>
        <v>-28</v>
      </c>
      <c r="DD68">
        <f t="shared" si="17"/>
        <v>-29</v>
      </c>
      <c r="DE68">
        <f t="shared" si="17"/>
        <v>-29</v>
      </c>
      <c r="DF68">
        <f t="shared" si="17"/>
        <v>-29</v>
      </c>
      <c r="DG68">
        <f t="shared" si="17"/>
        <v>-30</v>
      </c>
      <c r="DH68">
        <f t="shared" si="17"/>
        <v>-30</v>
      </c>
      <c r="DI68">
        <f t="shared" si="17"/>
        <v>-30</v>
      </c>
      <c r="DJ68">
        <f t="shared" si="17"/>
        <v>-31</v>
      </c>
      <c r="DK68">
        <f t="shared" si="17"/>
        <v>-31</v>
      </c>
      <c r="DL68">
        <f t="shared" si="17"/>
        <v>-31</v>
      </c>
      <c r="DM68">
        <f t="shared" si="17"/>
        <v>-32</v>
      </c>
      <c r="DN68">
        <f t="shared" si="17"/>
        <v>-32</v>
      </c>
      <c r="DO68">
        <f t="shared" si="17"/>
        <v>-32</v>
      </c>
      <c r="DP68">
        <f t="shared" si="17"/>
        <v>-33</v>
      </c>
      <c r="DQ68" t="s">
        <v>19</v>
      </c>
    </row>
    <row r="70" spans="20:121" x14ac:dyDescent="0.25">
      <c r="U70" t="e">
        <f>SMALL(U59:U64,COUNTIF(U59:U64,0)+1)</f>
        <v>#NUM!</v>
      </c>
      <c r="V70" t="e">
        <f>SMALL(V59:V64,COUNTIF(V59:V64,0)+1)</f>
        <v>#NUM!</v>
      </c>
      <c r="W70" t="e">
        <f>SMALL(W59:W64,COUNTIF(W59:W64,0)+1)</f>
        <v>#NUM!</v>
      </c>
      <c r="X70" t="e">
        <f t="shared" ref="X70:CI70" si="20">SMALL(X59:X64,COUNTIF(X59:X64,0)+1)</f>
        <v>#NUM!</v>
      </c>
      <c r="Y70" t="e">
        <f t="shared" si="20"/>
        <v>#NUM!</v>
      </c>
      <c r="Z70" t="e">
        <f t="shared" si="20"/>
        <v>#NUM!</v>
      </c>
      <c r="AA70" t="e">
        <f t="shared" si="20"/>
        <v>#NUM!</v>
      </c>
      <c r="AB70" t="e">
        <f t="shared" si="20"/>
        <v>#NUM!</v>
      </c>
      <c r="AC70" t="e">
        <f t="shared" si="20"/>
        <v>#NUM!</v>
      </c>
      <c r="AD70" t="e">
        <f t="shared" si="20"/>
        <v>#NUM!</v>
      </c>
      <c r="AE70" t="e">
        <f t="shared" si="20"/>
        <v>#NUM!</v>
      </c>
      <c r="AF70" t="e">
        <f t="shared" si="20"/>
        <v>#NUM!</v>
      </c>
      <c r="AG70" t="e">
        <f t="shared" si="20"/>
        <v>#NUM!</v>
      </c>
      <c r="AH70" t="e">
        <f t="shared" si="20"/>
        <v>#NUM!</v>
      </c>
      <c r="AI70" t="e">
        <f t="shared" si="20"/>
        <v>#NUM!</v>
      </c>
      <c r="AJ70" t="e">
        <f t="shared" si="20"/>
        <v>#NUM!</v>
      </c>
      <c r="AK70" t="e">
        <f t="shared" si="20"/>
        <v>#NUM!</v>
      </c>
      <c r="AL70" t="e">
        <f t="shared" si="20"/>
        <v>#NUM!</v>
      </c>
      <c r="AM70" t="e">
        <f t="shared" si="20"/>
        <v>#NUM!</v>
      </c>
      <c r="AN70" t="e">
        <f t="shared" si="20"/>
        <v>#NUM!</v>
      </c>
      <c r="AO70" t="e">
        <f t="shared" si="20"/>
        <v>#NUM!</v>
      </c>
      <c r="AP70" t="e">
        <f t="shared" si="20"/>
        <v>#NUM!</v>
      </c>
      <c r="AQ70" t="e">
        <f t="shared" si="20"/>
        <v>#NUM!</v>
      </c>
      <c r="AR70" t="e">
        <f t="shared" si="20"/>
        <v>#NUM!</v>
      </c>
      <c r="AS70" t="e">
        <f t="shared" si="20"/>
        <v>#NUM!</v>
      </c>
      <c r="AT70" t="e">
        <f t="shared" si="20"/>
        <v>#NUM!</v>
      </c>
      <c r="AU70" t="e">
        <f t="shared" si="20"/>
        <v>#NUM!</v>
      </c>
      <c r="AV70" t="e">
        <f t="shared" si="20"/>
        <v>#NUM!</v>
      </c>
      <c r="AW70" t="e">
        <f t="shared" si="20"/>
        <v>#NUM!</v>
      </c>
      <c r="AX70" t="e">
        <f t="shared" si="20"/>
        <v>#NUM!</v>
      </c>
      <c r="AY70" t="e">
        <f t="shared" si="20"/>
        <v>#NUM!</v>
      </c>
      <c r="AZ70" t="e">
        <f t="shared" si="20"/>
        <v>#NUM!</v>
      </c>
      <c r="BA70" t="e">
        <f t="shared" si="20"/>
        <v>#NUM!</v>
      </c>
      <c r="BB70" t="e">
        <f t="shared" si="20"/>
        <v>#NUM!</v>
      </c>
      <c r="BC70" t="e">
        <f t="shared" si="20"/>
        <v>#NUM!</v>
      </c>
      <c r="BD70" t="e">
        <f t="shared" si="20"/>
        <v>#NUM!</v>
      </c>
      <c r="BE70" t="e">
        <f t="shared" si="20"/>
        <v>#NUM!</v>
      </c>
      <c r="BF70" t="e">
        <f t="shared" si="20"/>
        <v>#NUM!</v>
      </c>
      <c r="BG70" t="e">
        <f t="shared" si="20"/>
        <v>#NUM!</v>
      </c>
      <c r="BH70" t="e">
        <f t="shared" si="20"/>
        <v>#NUM!</v>
      </c>
      <c r="BI70" t="e">
        <f t="shared" si="20"/>
        <v>#NUM!</v>
      </c>
      <c r="BJ70" t="e">
        <f t="shared" si="20"/>
        <v>#NUM!</v>
      </c>
      <c r="BK70" t="e">
        <f t="shared" si="20"/>
        <v>#NUM!</v>
      </c>
      <c r="BL70" t="e">
        <f t="shared" si="20"/>
        <v>#NUM!</v>
      </c>
      <c r="BM70" t="e">
        <f t="shared" si="20"/>
        <v>#NUM!</v>
      </c>
      <c r="BN70" t="e">
        <f t="shared" si="20"/>
        <v>#NUM!</v>
      </c>
      <c r="BO70" t="e">
        <f t="shared" si="20"/>
        <v>#NUM!</v>
      </c>
      <c r="BP70" t="e">
        <f t="shared" si="20"/>
        <v>#NUM!</v>
      </c>
      <c r="BQ70" t="e">
        <f t="shared" si="20"/>
        <v>#NUM!</v>
      </c>
      <c r="BR70" t="e">
        <f t="shared" si="20"/>
        <v>#NUM!</v>
      </c>
      <c r="BS70" t="e">
        <f t="shared" si="20"/>
        <v>#NUM!</v>
      </c>
      <c r="BT70" t="e">
        <f t="shared" si="20"/>
        <v>#NUM!</v>
      </c>
      <c r="BU70" t="e">
        <f t="shared" si="20"/>
        <v>#NUM!</v>
      </c>
      <c r="BV70" t="e">
        <f t="shared" si="20"/>
        <v>#NUM!</v>
      </c>
      <c r="BW70" t="e">
        <f t="shared" si="20"/>
        <v>#NUM!</v>
      </c>
      <c r="BX70" t="e">
        <f t="shared" si="20"/>
        <v>#NUM!</v>
      </c>
      <c r="BY70" t="e">
        <f t="shared" si="20"/>
        <v>#NUM!</v>
      </c>
      <c r="BZ70" t="e">
        <f t="shared" si="20"/>
        <v>#NUM!</v>
      </c>
      <c r="CA70" t="e">
        <f t="shared" si="20"/>
        <v>#NUM!</v>
      </c>
      <c r="CB70" t="e">
        <f t="shared" si="20"/>
        <v>#NUM!</v>
      </c>
      <c r="CC70" t="e">
        <f t="shared" si="20"/>
        <v>#NUM!</v>
      </c>
      <c r="CD70" t="e">
        <f t="shared" si="20"/>
        <v>#NUM!</v>
      </c>
      <c r="CE70" t="e">
        <f t="shared" si="20"/>
        <v>#NUM!</v>
      </c>
      <c r="CF70" t="e">
        <f t="shared" si="20"/>
        <v>#NUM!</v>
      </c>
      <c r="CG70" t="e">
        <f t="shared" si="20"/>
        <v>#NUM!</v>
      </c>
      <c r="CH70" t="e">
        <f t="shared" si="20"/>
        <v>#NUM!</v>
      </c>
      <c r="CI70" t="e">
        <f t="shared" si="20"/>
        <v>#NUM!</v>
      </c>
      <c r="CJ70" t="e">
        <f t="shared" ref="CJ70:DP70" si="21">SMALL(CJ59:CJ64,COUNTIF(CJ59:CJ64,0)+1)</f>
        <v>#NUM!</v>
      </c>
      <c r="CK70" t="e">
        <f t="shared" si="21"/>
        <v>#NUM!</v>
      </c>
      <c r="CL70" t="e">
        <f t="shared" si="21"/>
        <v>#NUM!</v>
      </c>
      <c r="CM70" t="e">
        <f t="shared" si="21"/>
        <v>#NUM!</v>
      </c>
      <c r="CN70" t="e">
        <f t="shared" si="21"/>
        <v>#NUM!</v>
      </c>
      <c r="CO70" t="e">
        <f t="shared" si="21"/>
        <v>#NUM!</v>
      </c>
      <c r="CP70" t="e">
        <f t="shared" si="21"/>
        <v>#NUM!</v>
      </c>
      <c r="CQ70" t="e">
        <f t="shared" si="21"/>
        <v>#NUM!</v>
      </c>
      <c r="CR70" t="e">
        <f t="shared" si="21"/>
        <v>#NUM!</v>
      </c>
      <c r="CS70" t="e">
        <f t="shared" si="21"/>
        <v>#NUM!</v>
      </c>
      <c r="CT70" t="e">
        <f t="shared" si="21"/>
        <v>#NUM!</v>
      </c>
      <c r="CU70" t="e">
        <f t="shared" si="21"/>
        <v>#NUM!</v>
      </c>
      <c r="CV70" t="e">
        <f t="shared" si="21"/>
        <v>#NUM!</v>
      </c>
      <c r="CW70" t="e">
        <f t="shared" si="21"/>
        <v>#NUM!</v>
      </c>
      <c r="CX70" t="e">
        <f t="shared" si="21"/>
        <v>#NUM!</v>
      </c>
      <c r="CY70" t="e">
        <f t="shared" si="21"/>
        <v>#NUM!</v>
      </c>
      <c r="CZ70" t="e">
        <f t="shared" si="21"/>
        <v>#NUM!</v>
      </c>
      <c r="DA70" t="e">
        <f t="shared" si="21"/>
        <v>#NUM!</v>
      </c>
      <c r="DB70" t="e">
        <f t="shared" si="21"/>
        <v>#NUM!</v>
      </c>
      <c r="DC70" t="e">
        <f t="shared" si="21"/>
        <v>#NUM!</v>
      </c>
      <c r="DD70" t="e">
        <f t="shared" si="21"/>
        <v>#NUM!</v>
      </c>
      <c r="DE70" t="e">
        <f t="shared" si="21"/>
        <v>#NUM!</v>
      </c>
      <c r="DF70" t="e">
        <f t="shared" si="21"/>
        <v>#NUM!</v>
      </c>
      <c r="DG70" t="e">
        <f t="shared" si="21"/>
        <v>#NUM!</v>
      </c>
      <c r="DH70" t="e">
        <f t="shared" si="21"/>
        <v>#NUM!</v>
      </c>
      <c r="DI70" t="e">
        <f t="shared" si="21"/>
        <v>#NUM!</v>
      </c>
      <c r="DJ70" t="e">
        <f t="shared" si="21"/>
        <v>#NUM!</v>
      </c>
      <c r="DK70" t="e">
        <f t="shared" si="21"/>
        <v>#NUM!</v>
      </c>
      <c r="DL70" t="e">
        <f t="shared" si="21"/>
        <v>#NUM!</v>
      </c>
      <c r="DM70" t="e">
        <f t="shared" si="21"/>
        <v>#NUM!</v>
      </c>
      <c r="DN70" t="e">
        <f t="shared" si="21"/>
        <v>#NUM!</v>
      </c>
      <c r="DO70" t="e">
        <f t="shared" si="21"/>
        <v>#NUM!</v>
      </c>
      <c r="DP70" t="e">
        <f t="shared" si="21"/>
        <v>#NUM!</v>
      </c>
    </row>
    <row r="71" spans="20:121" x14ac:dyDescent="0.25">
      <c r="U71" t="e">
        <f>VLOOKUP(U70,U59:DQ64,101,FALSE)</f>
        <v>#NUM!</v>
      </c>
      <c r="V71" t="e">
        <f>VLOOKUP(V70,V59:DR64,V74,FALSE)</f>
        <v>#NUM!</v>
      </c>
      <c r="W71" t="e">
        <f>VLOOKUP(W70,W59:DS64,W74,FALSE)</f>
        <v>#NUM!</v>
      </c>
      <c r="X71" t="e">
        <f t="shared" ref="X71:CI71" si="22">VLOOKUP(X70,X59:DT64,X74,FALSE)</f>
        <v>#NUM!</v>
      </c>
      <c r="Y71" t="e">
        <f t="shared" si="22"/>
        <v>#NUM!</v>
      </c>
      <c r="Z71" t="e">
        <f t="shared" si="22"/>
        <v>#NUM!</v>
      </c>
      <c r="AA71" t="e">
        <f t="shared" si="22"/>
        <v>#NUM!</v>
      </c>
      <c r="AB71" t="e">
        <f t="shared" si="22"/>
        <v>#NUM!</v>
      </c>
      <c r="AC71" t="e">
        <f t="shared" si="22"/>
        <v>#NUM!</v>
      </c>
      <c r="AD71" t="e">
        <f t="shared" si="22"/>
        <v>#NUM!</v>
      </c>
      <c r="AE71" t="e">
        <f t="shared" si="22"/>
        <v>#NUM!</v>
      </c>
      <c r="AF71" t="e">
        <f t="shared" si="22"/>
        <v>#NUM!</v>
      </c>
      <c r="AG71" t="e">
        <f t="shared" si="22"/>
        <v>#NUM!</v>
      </c>
      <c r="AH71" t="e">
        <f t="shared" si="22"/>
        <v>#NUM!</v>
      </c>
      <c r="AI71" t="e">
        <f t="shared" si="22"/>
        <v>#NUM!</v>
      </c>
      <c r="AJ71" t="e">
        <f t="shared" si="22"/>
        <v>#NUM!</v>
      </c>
      <c r="AK71" t="e">
        <f t="shared" si="22"/>
        <v>#NUM!</v>
      </c>
      <c r="AL71" t="e">
        <f t="shared" si="22"/>
        <v>#NUM!</v>
      </c>
      <c r="AM71" t="e">
        <f t="shared" si="22"/>
        <v>#NUM!</v>
      </c>
      <c r="AN71" t="e">
        <f t="shared" si="22"/>
        <v>#NUM!</v>
      </c>
      <c r="AO71" t="e">
        <f t="shared" si="22"/>
        <v>#NUM!</v>
      </c>
      <c r="AP71" t="e">
        <f t="shared" si="22"/>
        <v>#NUM!</v>
      </c>
      <c r="AQ71" t="e">
        <f t="shared" si="22"/>
        <v>#NUM!</v>
      </c>
      <c r="AR71" t="e">
        <f t="shared" si="22"/>
        <v>#NUM!</v>
      </c>
      <c r="AS71" t="e">
        <f t="shared" si="22"/>
        <v>#NUM!</v>
      </c>
      <c r="AT71" t="e">
        <f t="shared" si="22"/>
        <v>#NUM!</v>
      </c>
      <c r="AU71" t="e">
        <f t="shared" si="22"/>
        <v>#NUM!</v>
      </c>
      <c r="AV71" t="e">
        <f t="shared" si="22"/>
        <v>#NUM!</v>
      </c>
      <c r="AW71" t="e">
        <f t="shared" si="22"/>
        <v>#NUM!</v>
      </c>
      <c r="AX71" t="e">
        <f t="shared" si="22"/>
        <v>#NUM!</v>
      </c>
      <c r="AY71" t="e">
        <f t="shared" si="22"/>
        <v>#NUM!</v>
      </c>
      <c r="AZ71" t="e">
        <f t="shared" si="22"/>
        <v>#NUM!</v>
      </c>
      <c r="BA71" t="e">
        <f t="shared" si="22"/>
        <v>#NUM!</v>
      </c>
      <c r="BB71" t="e">
        <f t="shared" si="22"/>
        <v>#NUM!</v>
      </c>
      <c r="BC71" t="e">
        <f t="shared" si="22"/>
        <v>#NUM!</v>
      </c>
      <c r="BD71" t="e">
        <f t="shared" si="22"/>
        <v>#NUM!</v>
      </c>
      <c r="BE71" t="e">
        <f t="shared" si="22"/>
        <v>#NUM!</v>
      </c>
      <c r="BF71" t="e">
        <f t="shared" si="22"/>
        <v>#NUM!</v>
      </c>
      <c r="BG71" t="e">
        <f t="shared" si="22"/>
        <v>#NUM!</v>
      </c>
      <c r="BH71" t="e">
        <f t="shared" si="22"/>
        <v>#NUM!</v>
      </c>
      <c r="BI71" t="e">
        <f t="shared" si="22"/>
        <v>#NUM!</v>
      </c>
      <c r="BJ71" t="e">
        <f t="shared" si="22"/>
        <v>#NUM!</v>
      </c>
      <c r="BK71" t="e">
        <f t="shared" si="22"/>
        <v>#NUM!</v>
      </c>
      <c r="BL71" t="e">
        <f t="shared" si="22"/>
        <v>#NUM!</v>
      </c>
      <c r="BM71" t="e">
        <f t="shared" si="22"/>
        <v>#NUM!</v>
      </c>
      <c r="BN71" t="e">
        <f t="shared" si="22"/>
        <v>#NUM!</v>
      </c>
      <c r="BO71" t="e">
        <f t="shared" si="22"/>
        <v>#NUM!</v>
      </c>
      <c r="BP71" t="e">
        <f t="shared" si="22"/>
        <v>#NUM!</v>
      </c>
      <c r="BQ71" t="e">
        <f t="shared" si="22"/>
        <v>#NUM!</v>
      </c>
      <c r="BR71" t="e">
        <f t="shared" si="22"/>
        <v>#NUM!</v>
      </c>
      <c r="BS71" t="e">
        <f t="shared" si="22"/>
        <v>#NUM!</v>
      </c>
      <c r="BT71" t="e">
        <f t="shared" si="22"/>
        <v>#NUM!</v>
      </c>
      <c r="BU71" t="e">
        <f t="shared" si="22"/>
        <v>#NUM!</v>
      </c>
      <c r="BV71" t="e">
        <f t="shared" si="22"/>
        <v>#NUM!</v>
      </c>
      <c r="BW71" t="e">
        <f t="shared" si="22"/>
        <v>#NUM!</v>
      </c>
      <c r="BX71" t="e">
        <f t="shared" si="22"/>
        <v>#NUM!</v>
      </c>
      <c r="BY71" t="e">
        <f t="shared" si="22"/>
        <v>#NUM!</v>
      </c>
      <c r="BZ71" t="e">
        <f t="shared" si="22"/>
        <v>#NUM!</v>
      </c>
      <c r="CA71" t="e">
        <f t="shared" si="22"/>
        <v>#NUM!</v>
      </c>
      <c r="CB71" t="e">
        <f t="shared" si="22"/>
        <v>#NUM!</v>
      </c>
      <c r="CC71" t="e">
        <f t="shared" si="22"/>
        <v>#NUM!</v>
      </c>
      <c r="CD71" t="e">
        <f t="shared" si="22"/>
        <v>#NUM!</v>
      </c>
      <c r="CE71" t="e">
        <f t="shared" si="22"/>
        <v>#NUM!</v>
      </c>
      <c r="CF71" t="e">
        <f t="shared" si="22"/>
        <v>#NUM!</v>
      </c>
      <c r="CG71" t="e">
        <f t="shared" si="22"/>
        <v>#NUM!</v>
      </c>
      <c r="CH71" t="e">
        <f t="shared" si="22"/>
        <v>#NUM!</v>
      </c>
      <c r="CI71" t="e">
        <f t="shared" si="22"/>
        <v>#NUM!</v>
      </c>
      <c r="CJ71" t="e">
        <f t="shared" ref="CJ71:DP71" si="23">VLOOKUP(CJ70,CJ59:GF64,CJ74,FALSE)</f>
        <v>#NUM!</v>
      </c>
      <c r="CK71" t="e">
        <f t="shared" si="23"/>
        <v>#NUM!</v>
      </c>
      <c r="CL71" t="e">
        <f t="shared" si="23"/>
        <v>#NUM!</v>
      </c>
      <c r="CM71" t="e">
        <f t="shared" si="23"/>
        <v>#NUM!</v>
      </c>
      <c r="CN71" t="e">
        <f t="shared" si="23"/>
        <v>#NUM!</v>
      </c>
      <c r="CO71" t="e">
        <f t="shared" si="23"/>
        <v>#NUM!</v>
      </c>
      <c r="CP71" t="e">
        <f t="shared" si="23"/>
        <v>#NUM!</v>
      </c>
      <c r="CQ71" t="e">
        <f t="shared" si="23"/>
        <v>#NUM!</v>
      </c>
      <c r="CR71" t="e">
        <f t="shared" si="23"/>
        <v>#NUM!</v>
      </c>
      <c r="CS71" t="e">
        <f t="shared" si="23"/>
        <v>#NUM!</v>
      </c>
      <c r="CT71" t="e">
        <f t="shared" si="23"/>
        <v>#NUM!</v>
      </c>
      <c r="CU71" t="e">
        <f t="shared" si="23"/>
        <v>#NUM!</v>
      </c>
      <c r="CV71" t="e">
        <f t="shared" si="23"/>
        <v>#NUM!</v>
      </c>
      <c r="CW71" t="e">
        <f t="shared" si="23"/>
        <v>#NUM!</v>
      </c>
      <c r="CX71" t="e">
        <f t="shared" si="23"/>
        <v>#NUM!</v>
      </c>
      <c r="CY71" t="e">
        <f t="shared" si="23"/>
        <v>#NUM!</v>
      </c>
      <c r="CZ71" t="e">
        <f t="shared" si="23"/>
        <v>#NUM!</v>
      </c>
      <c r="DA71" t="e">
        <f t="shared" si="23"/>
        <v>#NUM!</v>
      </c>
      <c r="DB71" t="e">
        <f t="shared" si="23"/>
        <v>#NUM!</v>
      </c>
      <c r="DC71" t="e">
        <f t="shared" si="23"/>
        <v>#NUM!</v>
      </c>
      <c r="DD71" t="e">
        <f t="shared" si="23"/>
        <v>#NUM!</v>
      </c>
      <c r="DE71" t="e">
        <f t="shared" si="23"/>
        <v>#NUM!</v>
      </c>
      <c r="DF71" t="e">
        <f t="shared" si="23"/>
        <v>#NUM!</v>
      </c>
      <c r="DG71" t="e">
        <f t="shared" si="23"/>
        <v>#NUM!</v>
      </c>
      <c r="DH71" t="e">
        <f t="shared" si="23"/>
        <v>#NUM!</v>
      </c>
      <c r="DI71" t="e">
        <f t="shared" si="23"/>
        <v>#NUM!</v>
      </c>
      <c r="DJ71" t="e">
        <f t="shared" si="23"/>
        <v>#NUM!</v>
      </c>
      <c r="DK71" t="e">
        <f t="shared" si="23"/>
        <v>#NUM!</v>
      </c>
      <c r="DL71" t="e">
        <f t="shared" si="23"/>
        <v>#NUM!</v>
      </c>
      <c r="DM71" t="e">
        <f t="shared" si="23"/>
        <v>#NUM!</v>
      </c>
      <c r="DN71" t="e">
        <f t="shared" si="23"/>
        <v>#NUM!</v>
      </c>
      <c r="DO71" t="e">
        <f t="shared" si="23"/>
        <v>#NUM!</v>
      </c>
      <c r="DP71" t="e">
        <f t="shared" si="23"/>
        <v>#NUM!</v>
      </c>
    </row>
    <row r="72" spans="20:121" x14ac:dyDescent="0.25">
      <c r="U72">
        <f>MAX(U66:U68)</f>
        <v>0</v>
      </c>
      <c r="V72">
        <f>MAX(V66:V68)</f>
        <v>0</v>
      </c>
      <c r="W72">
        <f>MAX(W66:W68)</f>
        <v>0</v>
      </c>
      <c r="X72">
        <f t="shared" ref="X72:CI72" si="24">MAX(X66:X68)</f>
        <v>-1</v>
      </c>
      <c r="Y72">
        <f t="shared" si="24"/>
        <v>-1</v>
      </c>
      <c r="Z72">
        <f t="shared" si="24"/>
        <v>-1</v>
      </c>
      <c r="AA72">
        <f t="shared" si="24"/>
        <v>-2</v>
      </c>
      <c r="AB72">
        <f t="shared" si="24"/>
        <v>-2</v>
      </c>
      <c r="AC72">
        <f t="shared" si="24"/>
        <v>-2</v>
      </c>
      <c r="AD72">
        <f t="shared" si="24"/>
        <v>-3</v>
      </c>
      <c r="AE72">
        <f t="shared" si="24"/>
        <v>-3</v>
      </c>
      <c r="AF72">
        <f t="shared" si="24"/>
        <v>-3</v>
      </c>
      <c r="AG72">
        <f t="shared" si="24"/>
        <v>-4</v>
      </c>
      <c r="AH72">
        <f t="shared" si="24"/>
        <v>-4</v>
      </c>
      <c r="AI72">
        <f t="shared" si="24"/>
        <v>-4</v>
      </c>
      <c r="AJ72">
        <f t="shared" si="24"/>
        <v>-5</v>
      </c>
      <c r="AK72">
        <f t="shared" si="24"/>
        <v>-5</v>
      </c>
      <c r="AL72">
        <f t="shared" si="24"/>
        <v>-5</v>
      </c>
      <c r="AM72">
        <f t="shared" si="24"/>
        <v>-6</v>
      </c>
      <c r="AN72">
        <f t="shared" si="24"/>
        <v>-6</v>
      </c>
      <c r="AO72">
        <f t="shared" si="24"/>
        <v>-6</v>
      </c>
      <c r="AP72">
        <f t="shared" si="24"/>
        <v>-7</v>
      </c>
      <c r="AQ72">
        <f t="shared" si="24"/>
        <v>-7</v>
      </c>
      <c r="AR72">
        <f t="shared" si="24"/>
        <v>-7</v>
      </c>
      <c r="AS72">
        <f t="shared" si="24"/>
        <v>-8</v>
      </c>
      <c r="AT72">
        <f t="shared" si="24"/>
        <v>-8</v>
      </c>
      <c r="AU72">
        <f t="shared" si="24"/>
        <v>-8</v>
      </c>
      <c r="AV72">
        <f t="shared" si="24"/>
        <v>-9</v>
      </c>
      <c r="AW72">
        <f t="shared" si="24"/>
        <v>-9</v>
      </c>
      <c r="AX72">
        <f t="shared" si="24"/>
        <v>-9</v>
      </c>
      <c r="AY72">
        <f t="shared" si="24"/>
        <v>-10</v>
      </c>
      <c r="AZ72">
        <f t="shared" si="24"/>
        <v>-10</v>
      </c>
      <c r="BA72">
        <f t="shared" si="24"/>
        <v>-10</v>
      </c>
      <c r="BB72">
        <f t="shared" si="24"/>
        <v>-11</v>
      </c>
      <c r="BC72">
        <f t="shared" si="24"/>
        <v>-11</v>
      </c>
      <c r="BD72">
        <f t="shared" si="24"/>
        <v>-11</v>
      </c>
      <c r="BE72">
        <f t="shared" si="24"/>
        <v>-12</v>
      </c>
      <c r="BF72">
        <f t="shared" si="24"/>
        <v>-12</v>
      </c>
      <c r="BG72">
        <f t="shared" si="24"/>
        <v>-12</v>
      </c>
      <c r="BH72">
        <f t="shared" si="24"/>
        <v>-13</v>
      </c>
      <c r="BI72">
        <f t="shared" si="24"/>
        <v>-13</v>
      </c>
      <c r="BJ72">
        <f t="shared" si="24"/>
        <v>-13</v>
      </c>
      <c r="BK72">
        <f t="shared" si="24"/>
        <v>-14</v>
      </c>
      <c r="BL72">
        <f t="shared" si="24"/>
        <v>-14</v>
      </c>
      <c r="BM72">
        <f t="shared" si="24"/>
        <v>-14</v>
      </c>
      <c r="BN72">
        <f t="shared" si="24"/>
        <v>-15</v>
      </c>
      <c r="BO72">
        <f t="shared" si="24"/>
        <v>-15</v>
      </c>
      <c r="BP72">
        <f t="shared" si="24"/>
        <v>-15</v>
      </c>
      <c r="BQ72">
        <f t="shared" si="24"/>
        <v>-16</v>
      </c>
      <c r="BR72">
        <f t="shared" si="24"/>
        <v>-16</v>
      </c>
      <c r="BS72">
        <f t="shared" si="24"/>
        <v>-16</v>
      </c>
      <c r="BT72">
        <f t="shared" si="24"/>
        <v>-17</v>
      </c>
      <c r="BU72">
        <f t="shared" si="24"/>
        <v>-17</v>
      </c>
      <c r="BV72">
        <f t="shared" si="24"/>
        <v>-17</v>
      </c>
      <c r="BW72">
        <f t="shared" si="24"/>
        <v>-18</v>
      </c>
      <c r="BX72">
        <f t="shared" si="24"/>
        <v>-18</v>
      </c>
      <c r="BY72">
        <f t="shared" si="24"/>
        <v>-18</v>
      </c>
      <c r="BZ72">
        <f t="shared" si="24"/>
        <v>-19</v>
      </c>
      <c r="CA72">
        <f t="shared" si="24"/>
        <v>-19</v>
      </c>
      <c r="CB72">
        <f t="shared" si="24"/>
        <v>-19</v>
      </c>
      <c r="CC72">
        <f t="shared" si="24"/>
        <v>-20</v>
      </c>
      <c r="CD72">
        <f t="shared" si="24"/>
        <v>-20</v>
      </c>
      <c r="CE72">
        <f t="shared" si="24"/>
        <v>-20</v>
      </c>
      <c r="CF72">
        <f t="shared" si="24"/>
        <v>-21</v>
      </c>
      <c r="CG72">
        <f t="shared" si="24"/>
        <v>-21</v>
      </c>
      <c r="CH72">
        <f t="shared" si="24"/>
        <v>-21</v>
      </c>
      <c r="CI72">
        <f t="shared" si="24"/>
        <v>-22</v>
      </c>
      <c r="CJ72">
        <f t="shared" ref="CJ72:DP72" si="25">MAX(CJ66:CJ68)</f>
        <v>-22</v>
      </c>
      <c r="CK72">
        <f t="shared" si="25"/>
        <v>-22</v>
      </c>
      <c r="CL72">
        <f t="shared" si="25"/>
        <v>-23</v>
      </c>
      <c r="CM72">
        <f t="shared" si="25"/>
        <v>-23</v>
      </c>
      <c r="CN72">
        <f t="shared" si="25"/>
        <v>-23</v>
      </c>
      <c r="CO72">
        <f t="shared" si="25"/>
        <v>-24</v>
      </c>
      <c r="CP72">
        <f t="shared" si="25"/>
        <v>-24</v>
      </c>
      <c r="CQ72">
        <f t="shared" si="25"/>
        <v>-24</v>
      </c>
      <c r="CR72">
        <f t="shared" si="25"/>
        <v>-25</v>
      </c>
      <c r="CS72">
        <f t="shared" si="25"/>
        <v>-25</v>
      </c>
      <c r="CT72">
        <f t="shared" si="25"/>
        <v>-25</v>
      </c>
      <c r="CU72">
        <f t="shared" si="25"/>
        <v>-26</v>
      </c>
      <c r="CV72">
        <f t="shared" si="25"/>
        <v>-26</v>
      </c>
      <c r="CW72">
        <f t="shared" si="25"/>
        <v>-26</v>
      </c>
      <c r="CX72">
        <f t="shared" si="25"/>
        <v>-27</v>
      </c>
      <c r="CY72">
        <f t="shared" si="25"/>
        <v>-27</v>
      </c>
      <c r="CZ72">
        <f t="shared" si="25"/>
        <v>-27</v>
      </c>
      <c r="DA72">
        <f t="shared" si="25"/>
        <v>-28</v>
      </c>
      <c r="DB72">
        <f t="shared" si="25"/>
        <v>-28</v>
      </c>
      <c r="DC72">
        <f t="shared" si="25"/>
        <v>-28</v>
      </c>
      <c r="DD72">
        <f t="shared" si="25"/>
        <v>-29</v>
      </c>
      <c r="DE72">
        <f t="shared" si="25"/>
        <v>-29</v>
      </c>
      <c r="DF72">
        <f t="shared" si="25"/>
        <v>-29</v>
      </c>
      <c r="DG72">
        <f t="shared" si="25"/>
        <v>-30</v>
      </c>
      <c r="DH72">
        <f t="shared" si="25"/>
        <v>-30</v>
      </c>
      <c r="DI72">
        <f t="shared" si="25"/>
        <v>-30</v>
      </c>
      <c r="DJ72">
        <f t="shared" si="25"/>
        <v>-31</v>
      </c>
      <c r="DK72">
        <f t="shared" si="25"/>
        <v>-31</v>
      </c>
      <c r="DL72">
        <f t="shared" si="25"/>
        <v>-31</v>
      </c>
      <c r="DM72">
        <f t="shared" si="25"/>
        <v>-32</v>
      </c>
      <c r="DN72">
        <f t="shared" si="25"/>
        <v>-32</v>
      </c>
      <c r="DO72">
        <f t="shared" si="25"/>
        <v>-32</v>
      </c>
      <c r="DP72">
        <f t="shared" si="25"/>
        <v>-33</v>
      </c>
    </row>
    <row r="73" spans="20:121" x14ac:dyDescent="0.25">
      <c r="U73" t="str">
        <f>VLOOKUP(U72,U66:DQ68,101,FALSE)</f>
        <v>Standard</v>
      </c>
      <c r="V73" t="str">
        <f>VLOOKUP(V72,V66:DR68,V74,FALSE)</f>
        <v>Premium</v>
      </c>
      <c r="W73" t="str">
        <f>VLOOKUP(W72,W66:DS68,W74,FALSE)</f>
        <v>Super Premium</v>
      </c>
      <c r="X73" t="str">
        <f t="shared" ref="X73:AI73" si="26">VLOOKUP(X72,X66:DT68,X74,FALSE)</f>
        <v>Standard</v>
      </c>
      <c r="Y73" t="str">
        <f t="shared" si="26"/>
        <v>Premium</v>
      </c>
      <c r="Z73" t="str">
        <f t="shared" si="26"/>
        <v>Super Premium</v>
      </c>
      <c r="AA73" t="str">
        <f t="shared" si="26"/>
        <v>Standard</v>
      </c>
      <c r="AB73" t="str">
        <f t="shared" si="26"/>
        <v>Premium</v>
      </c>
      <c r="AC73" t="str">
        <f t="shared" si="26"/>
        <v>Super Premium</v>
      </c>
      <c r="AD73" t="str">
        <f t="shared" si="26"/>
        <v>Standard</v>
      </c>
      <c r="AE73" t="str">
        <f t="shared" si="26"/>
        <v>Premium</v>
      </c>
      <c r="AF73" t="str">
        <f t="shared" si="26"/>
        <v>Super Premium</v>
      </c>
      <c r="AG73" t="str">
        <f t="shared" si="26"/>
        <v>Standard</v>
      </c>
      <c r="AH73" t="str">
        <f t="shared" si="26"/>
        <v>Premium</v>
      </c>
      <c r="AI73" t="str">
        <f t="shared" si="26"/>
        <v>Super Premium</v>
      </c>
      <c r="AJ73" t="str">
        <f>VLOOKUP(AJ72,AJ66:EF68,AJ74,FALSE)</f>
        <v>Standard</v>
      </c>
      <c r="AK73" t="str">
        <f t="shared" ref="AK73:CV73" si="27">VLOOKUP(AK72,AK66:EG68,AK74,FALSE)</f>
        <v>Premium</v>
      </c>
      <c r="AL73" t="str">
        <f t="shared" si="27"/>
        <v>Super Premium</v>
      </c>
      <c r="AM73" t="str">
        <f t="shared" si="27"/>
        <v>Standard</v>
      </c>
      <c r="AN73" t="str">
        <f t="shared" si="27"/>
        <v>Premium</v>
      </c>
      <c r="AO73" t="str">
        <f t="shared" si="27"/>
        <v>Super Premium</v>
      </c>
      <c r="AP73" t="str">
        <f t="shared" si="27"/>
        <v>Standard</v>
      </c>
      <c r="AQ73" t="str">
        <f t="shared" si="27"/>
        <v>Premium</v>
      </c>
      <c r="AR73" t="str">
        <f t="shared" si="27"/>
        <v>Super Premium</v>
      </c>
      <c r="AS73" t="str">
        <f t="shared" si="27"/>
        <v>Standard</v>
      </c>
      <c r="AT73" t="str">
        <f t="shared" si="27"/>
        <v>Premium</v>
      </c>
      <c r="AU73" t="str">
        <f t="shared" si="27"/>
        <v>Super Premium</v>
      </c>
      <c r="AV73" t="str">
        <f t="shared" si="27"/>
        <v>Standard</v>
      </c>
      <c r="AW73" t="str">
        <f t="shared" si="27"/>
        <v>Premium</v>
      </c>
      <c r="AX73" t="str">
        <f t="shared" si="27"/>
        <v>Super Premium</v>
      </c>
      <c r="AY73" t="str">
        <f t="shared" si="27"/>
        <v>Standard</v>
      </c>
      <c r="AZ73" t="str">
        <f t="shared" si="27"/>
        <v>Premium</v>
      </c>
      <c r="BA73" t="str">
        <f t="shared" si="27"/>
        <v>Super Premium</v>
      </c>
      <c r="BB73" t="str">
        <f t="shared" si="27"/>
        <v>Standard</v>
      </c>
      <c r="BC73" t="str">
        <f t="shared" si="27"/>
        <v>Premium</v>
      </c>
      <c r="BD73" t="str">
        <f t="shared" si="27"/>
        <v>Super Premium</v>
      </c>
      <c r="BE73" t="str">
        <f t="shared" si="27"/>
        <v>Standard</v>
      </c>
      <c r="BF73" t="str">
        <f t="shared" si="27"/>
        <v>Premium</v>
      </c>
      <c r="BG73" t="str">
        <f t="shared" si="27"/>
        <v>Super Premium</v>
      </c>
      <c r="BH73" t="str">
        <f t="shared" si="27"/>
        <v>Standard</v>
      </c>
      <c r="BI73" t="str">
        <f t="shared" si="27"/>
        <v>Premium</v>
      </c>
      <c r="BJ73" t="str">
        <f t="shared" si="27"/>
        <v>Super Premium</v>
      </c>
      <c r="BK73" t="str">
        <f t="shared" si="27"/>
        <v>Standard</v>
      </c>
      <c r="BL73" t="str">
        <f t="shared" si="27"/>
        <v>Premium</v>
      </c>
      <c r="BM73" t="str">
        <f t="shared" si="27"/>
        <v>Super Premium</v>
      </c>
      <c r="BN73" t="str">
        <f t="shared" si="27"/>
        <v>Standard</v>
      </c>
      <c r="BO73" t="str">
        <f t="shared" si="27"/>
        <v>Premium</v>
      </c>
      <c r="BP73" t="str">
        <f t="shared" si="27"/>
        <v>Super Premium</v>
      </c>
      <c r="BQ73" t="str">
        <f t="shared" si="27"/>
        <v>Standard</v>
      </c>
      <c r="BR73" t="str">
        <f t="shared" si="27"/>
        <v>Premium</v>
      </c>
      <c r="BS73" t="str">
        <f t="shared" si="27"/>
        <v>Super Premium</v>
      </c>
      <c r="BT73" t="str">
        <f t="shared" si="27"/>
        <v>Standard</v>
      </c>
      <c r="BU73" t="str">
        <f t="shared" si="27"/>
        <v>Premium</v>
      </c>
      <c r="BV73" t="str">
        <f t="shared" si="27"/>
        <v>Super Premium</v>
      </c>
      <c r="BW73" t="str">
        <f t="shared" si="27"/>
        <v>Standard</v>
      </c>
      <c r="BX73" t="str">
        <f t="shared" si="27"/>
        <v>Premium</v>
      </c>
      <c r="BY73" t="str">
        <f t="shared" si="27"/>
        <v>Super Premium</v>
      </c>
      <c r="BZ73" t="str">
        <f t="shared" si="27"/>
        <v>Standard</v>
      </c>
      <c r="CA73" t="str">
        <f t="shared" si="27"/>
        <v>Premium</v>
      </c>
      <c r="CB73" t="str">
        <f t="shared" si="27"/>
        <v>Super Premium</v>
      </c>
      <c r="CC73" t="str">
        <f t="shared" si="27"/>
        <v>Standard</v>
      </c>
      <c r="CD73" t="str">
        <f t="shared" si="27"/>
        <v>Premium</v>
      </c>
      <c r="CE73" t="str">
        <f t="shared" si="27"/>
        <v>Super Premium</v>
      </c>
      <c r="CF73" t="str">
        <f t="shared" si="27"/>
        <v>Standard</v>
      </c>
      <c r="CG73" t="str">
        <f t="shared" si="27"/>
        <v>Premium</v>
      </c>
      <c r="CH73" t="str">
        <f t="shared" si="27"/>
        <v>Super Premium</v>
      </c>
      <c r="CI73" t="str">
        <f t="shared" si="27"/>
        <v>Standard</v>
      </c>
      <c r="CJ73" t="str">
        <f t="shared" si="27"/>
        <v>Premium</v>
      </c>
      <c r="CK73" t="str">
        <f t="shared" si="27"/>
        <v>Super Premium</v>
      </c>
      <c r="CL73" t="str">
        <f t="shared" si="27"/>
        <v>Standard</v>
      </c>
      <c r="CM73" t="str">
        <f t="shared" si="27"/>
        <v>Premium</v>
      </c>
      <c r="CN73" t="str">
        <f t="shared" si="27"/>
        <v>Super Premium</v>
      </c>
      <c r="CO73" t="str">
        <f t="shared" si="27"/>
        <v>Standard</v>
      </c>
      <c r="CP73" t="str">
        <f t="shared" si="27"/>
        <v>Premium</v>
      </c>
      <c r="CQ73" t="str">
        <f t="shared" si="27"/>
        <v>Super Premium</v>
      </c>
      <c r="CR73" t="str">
        <f t="shared" si="27"/>
        <v>Standard</v>
      </c>
      <c r="CS73" t="str">
        <f t="shared" si="27"/>
        <v>Premium</v>
      </c>
      <c r="CT73" t="str">
        <f t="shared" si="27"/>
        <v>Super Premium</v>
      </c>
      <c r="CU73" t="str">
        <f t="shared" si="27"/>
        <v>Standard</v>
      </c>
      <c r="CV73" t="str">
        <f t="shared" si="27"/>
        <v>Premium</v>
      </c>
      <c r="CW73" t="str">
        <f t="shared" ref="CW73:DP73" si="28">VLOOKUP(CW72,CW66:GS68,CW74,FALSE)</f>
        <v>Super Premium</v>
      </c>
      <c r="CX73" t="str">
        <f t="shared" si="28"/>
        <v>Standard</v>
      </c>
      <c r="CY73" t="str">
        <f t="shared" si="28"/>
        <v>Premium</v>
      </c>
      <c r="CZ73" t="str">
        <f t="shared" si="28"/>
        <v>Super Premium</v>
      </c>
      <c r="DA73" t="str">
        <f t="shared" si="28"/>
        <v>Standard</v>
      </c>
      <c r="DB73" t="str">
        <f t="shared" si="28"/>
        <v>Premium</v>
      </c>
      <c r="DC73" t="str">
        <f t="shared" si="28"/>
        <v>Super Premium</v>
      </c>
      <c r="DD73" t="str">
        <f t="shared" si="28"/>
        <v>Standard</v>
      </c>
      <c r="DE73" t="str">
        <f t="shared" si="28"/>
        <v>Premium</v>
      </c>
      <c r="DF73" t="str">
        <f t="shared" si="28"/>
        <v>Super Premium</v>
      </c>
      <c r="DG73" t="str">
        <f t="shared" si="28"/>
        <v>Standard</v>
      </c>
      <c r="DH73" t="str">
        <f t="shared" si="28"/>
        <v>Premium</v>
      </c>
      <c r="DI73" t="str">
        <f t="shared" si="28"/>
        <v>Super Premium</v>
      </c>
      <c r="DJ73" t="str">
        <f t="shared" si="28"/>
        <v>Standard</v>
      </c>
      <c r="DK73" t="str">
        <f t="shared" si="28"/>
        <v>Premium</v>
      </c>
      <c r="DL73" t="str">
        <f t="shared" si="28"/>
        <v>Super Premium</v>
      </c>
      <c r="DM73" t="str">
        <f t="shared" si="28"/>
        <v>Standard</v>
      </c>
      <c r="DN73" t="str">
        <f t="shared" si="28"/>
        <v>Premium</v>
      </c>
      <c r="DO73" t="str">
        <f t="shared" si="28"/>
        <v>Super Premium</v>
      </c>
      <c r="DP73" t="str">
        <f t="shared" si="28"/>
        <v>Standard</v>
      </c>
    </row>
    <row r="74" spans="20:121" x14ac:dyDescent="0.25">
      <c r="U74">
        <v>101</v>
      </c>
      <c r="V74">
        <v>100</v>
      </c>
      <c r="W74">
        <v>99</v>
      </c>
      <c r="X74">
        <v>98</v>
      </c>
      <c r="Y74">
        <v>97</v>
      </c>
      <c r="Z74">
        <v>96</v>
      </c>
      <c r="AA74">
        <v>95</v>
      </c>
      <c r="AB74">
        <v>94</v>
      </c>
      <c r="AC74">
        <v>93</v>
      </c>
      <c r="AD74">
        <v>92</v>
      </c>
      <c r="AE74">
        <v>91</v>
      </c>
      <c r="AF74">
        <v>90</v>
      </c>
      <c r="AG74">
        <v>89</v>
      </c>
      <c r="AH74">
        <v>88</v>
      </c>
      <c r="AI74">
        <v>87</v>
      </c>
      <c r="AJ74">
        <v>86</v>
      </c>
      <c r="AK74">
        <v>85</v>
      </c>
      <c r="AL74">
        <v>84</v>
      </c>
      <c r="AM74">
        <v>83</v>
      </c>
      <c r="AN74">
        <v>82</v>
      </c>
      <c r="AO74">
        <v>81</v>
      </c>
      <c r="AP74">
        <v>80</v>
      </c>
      <c r="AQ74">
        <v>79</v>
      </c>
      <c r="AR74">
        <v>78</v>
      </c>
      <c r="AS74">
        <v>77</v>
      </c>
      <c r="AT74">
        <v>76</v>
      </c>
      <c r="AU74">
        <v>75</v>
      </c>
      <c r="AV74">
        <v>74</v>
      </c>
      <c r="AW74">
        <v>73</v>
      </c>
      <c r="AX74">
        <v>72</v>
      </c>
      <c r="AY74">
        <v>71</v>
      </c>
      <c r="AZ74">
        <v>70</v>
      </c>
      <c r="BA74">
        <v>69</v>
      </c>
      <c r="BB74">
        <v>68</v>
      </c>
      <c r="BC74">
        <v>67</v>
      </c>
      <c r="BD74">
        <v>66</v>
      </c>
      <c r="BE74">
        <v>65</v>
      </c>
      <c r="BF74">
        <v>64</v>
      </c>
      <c r="BG74">
        <v>63</v>
      </c>
      <c r="BH74">
        <v>62</v>
      </c>
      <c r="BI74">
        <v>61</v>
      </c>
      <c r="BJ74">
        <v>60</v>
      </c>
      <c r="BK74">
        <v>59</v>
      </c>
      <c r="BL74">
        <v>58</v>
      </c>
      <c r="BM74">
        <v>57</v>
      </c>
      <c r="BN74">
        <v>56</v>
      </c>
      <c r="BO74">
        <v>55</v>
      </c>
      <c r="BP74">
        <v>54</v>
      </c>
      <c r="BQ74">
        <v>53</v>
      </c>
      <c r="BR74">
        <v>52</v>
      </c>
      <c r="BS74">
        <v>51</v>
      </c>
      <c r="BT74">
        <v>50</v>
      </c>
      <c r="BU74">
        <v>49</v>
      </c>
      <c r="BV74">
        <v>48</v>
      </c>
      <c r="BW74">
        <v>47</v>
      </c>
      <c r="BX74">
        <v>46</v>
      </c>
      <c r="BY74">
        <v>45</v>
      </c>
      <c r="BZ74">
        <v>44</v>
      </c>
      <c r="CA74">
        <v>43</v>
      </c>
      <c r="CB74">
        <v>42</v>
      </c>
      <c r="CC74">
        <v>41</v>
      </c>
      <c r="CD74">
        <v>40</v>
      </c>
      <c r="CE74">
        <v>39</v>
      </c>
      <c r="CF74">
        <v>38</v>
      </c>
      <c r="CG74">
        <v>37</v>
      </c>
      <c r="CH74">
        <v>36</v>
      </c>
      <c r="CI74">
        <v>35</v>
      </c>
      <c r="CJ74">
        <v>34</v>
      </c>
      <c r="CK74">
        <v>33</v>
      </c>
      <c r="CL74">
        <v>32</v>
      </c>
      <c r="CM74">
        <v>31</v>
      </c>
      <c r="CN74">
        <v>30</v>
      </c>
      <c r="CO74">
        <v>29</v>
      </c>
      <c r="CP74">
        <v>28</v>
      </c>
      <c r="CQ74">
        <v>27</v>
      </c>
      <c r="CR74">
        <v>26</v>
      </c>
      <c r="CS74">
        <v>25</v>
      </c>
      <c r="CT74">
        <v>24</v>
      </c>
      <c r="CU74">
        <v>23</v>
      </c>
      <c r="CV74">
        <v>22</v>
      </c>
      <c r="CW74">
        <v>21</v>
      </c>
      <c r="CX74">
        <v>20</v>
      </c>
      <c r="CY74">
        <v>19</v>
      </c>
      <c r="CZ74">
        <v>18</v>
      </c>
      <c r="DA74">
        <v>17</v>
      </c>
      <c r="DB74">
        <v>16</v>
      </c>
      <c r="DC74">
        <v>15</v>
      </c>
      <c r="DD74">
        <v>14</v>
      </c>
      <c r="DE74">
        <v>13</v>
      </c>
      <c r="DF74">
        <v>12</v>
      </c>
      <c r="DG74">
        <v>11</v>
      </c>
      <c r="DH74">
        <v>10</v>
      </c>
      <c r="DI74">
        <v>9</v>
      </c>
      <c r="DJ74">
        <v>8</v>
      </c>
      <c r="DK74">
        <v>7</v>
      </c>
      <c r="DL74">
        <v>6</v>
      </c>
      <c r="DM74">
        <v>5</v>
      </c>
      <c r="DN74">
        <v>4</v>
      </c>
      <c r="DO74">
        <v>3</v>
      </c>
      <c r="DP74">
        <v>2</v>
      </c>
      <c r="DQ74">
        <v>1</v>
      </c>
    </row>
    <row r="75" spans="20:121" x14ac:dyDescent="0.25">
      <c r="U75" t="e">
        <f>U71&amp;U73</f>
        <v>#NUM!</v>
      </c>
      <c r="V75" t="e">
        <f>V71&amp;V73</f>
        <v>#NUM!</v>
      </c>
      <c r="W75" t="e">
        <f t="shared" ref="W75:CH75" si="29">W71&amp;W73</f>
        <v>#NUM!</v>
      </c>
      <c r="X75" t="e">
        <f t="shared" si="29"/>
        <v>#NUM!</v>
      </c>
      <c r="Y75" t="e">
        <f t="shared" si="29"/>
        <v>#NUM!</v>
      </c>
      <c r="Z75" t="e">
        <f t="shared" si="29"/>
        <v>#NUM!</v>
      </c>
      <c r="AA75" t="e">
        <f t="shared" si="29"/>
        <v>#NUM!</v>
      </c>
      <c r="AB75" t="e">
        <f t="shared" si="29"/>
        <v>#NUM!</v>
      </c>
      <c r="AC75" t="e">
        <f t="shared" si="29"/>
        <v>#NUM!</v>
      </c>
      <c r="AD75" t="e">
        <f t="shared" si="29"/>
        <v>#NUM!</v>
      </c>
      <c r="AE75" t="e">
        <f t="shared" si="29"/>
        <v>#NUM!</v>
      </c>
      <c r="AF75" t="e">
        <f t="shared" si="29"/>
        <v>#NUM!</v>
      </c>
      <c r="AG75" t="e">
        <f t="shared" si="29"/>
        <v>#NUM!</v>
      </c>
      <c r="AH75" t="e">
        <f t="shared" si="29"/>
        <v>#NUM!</v>
      </c>
      <c r="AI75" t="e">
        <f t="shared" si="29"/>
        <v>#NUM!</v>
      </c>
      <c r="AJ75" t="e">
        <f t="shared" si="29"/>
        <v>#NUM!</v>
      </c>
      <c r="AK75" t="e">
        <f t="shared" si="29"/>
        <v>#NUM!</v>
      </c>
      <c r="AL75" t="e">
        <f t="shared" si="29"/>
        <v>#NUM!</v>
      </c>
      <c r="AM75" t="e">
        <f t="shared" si="29"/>
        <v>#NUM!</v>
      </c>
      <c r="AN75" t="e">
        <f t="shared" si="29"/>
        <v>#NUM!</v>
      </c>
      <c r="AO75" t="e">
        <f t="shared" si="29"/>
        <v>#NUM!</v>
      </c>
      <c r="AP75" t="e">
        <f t="shared" si="29"/>
        <v>#NUM!</v>
      </c>
      <c r="AQ75" t="e">
        <f t="shared" si="29"/>
        <v>#NUM!</v>
      </c>
      <c r="AR75" t="e">
        <f t="shared" si="29"/>
        <v>#NUM!</v>
      </c>
      <c r="AS75" t="e">
        <f t="shared" si="29"/>
        <v>#NUM!</v>
      </c>
      <c r="AT75" t="e">
        <f t="shared" si="29"/>
        <v>#NUM!</v>
      </c>
      <c r="AU75" t="e">
        <f t="shared" si="29"/>
        <v>#NUM!</v>
      </c>
      <c r="AV75" t="e">
        <f t="shared" si="29"/>
        <v>#NUM!</v>
      </c>
      <c r="AW75" t="e">
        <f t="shared" si="29"/>
        <v>#NUM!</v>
      </c>
      <c r="AX75" t="e">
        <f t="shared" si="29"/>
        <v>#NUM!</v>
      </c>
      <c r="AY75" t="e">
        <f t="shared" si="29"/>
        <v>#NUM!</v>
      </c>
      <c r="AZ75" t="e">
        <f t="shared" si="29"/>
        <v>#NUM!</v>
      </c>
      <c r="BA75" t="e">
        <f t="shared" si="29"/>
        <v>#NUM!</v>
      </c>
      <c r="BB75" t="e">
        <f t="shared" si="29"/>
        <v>#NUM!</v>
      </c>
      <c r="BC75" t="e">
        <f t="shared" si="29"/>
        <v>#NUM!</v>
      </c>
      <c r="BD75" t="e">
        <f t="shared" si="29"/>
        <v>#NUM!</v>
      </c>
      <c r="BE75" t="e">
        <f t="shared" si="29"/>
        <v>#NUM!</v>
      </c>
      <c r="BF75" t="e">
        <f t="shared" si="29"/>
        <v>#NUM!</v>
      </c>
      <c r="BG75" t="e">
        <f t="shared" si="29"/>
        <v>#NUM!</v>
      </c>
      <c r="BH75" t="e">
        <f t="shared" si="29"/>
        <v>#NUM!</v>
      </c>
      <c r="BI75" t="e">
        <f t="shared" si="29"/>
        <v>#NUM!</v>
      </c>
      <c r="BJ75" t="e">
        <f t="shared" si="29"/>
        <v>#NUM!</v>
      </c>
      <c r="BK75" t="e">
        <f t="shared" si="29"/>
        <v>#NUM!</v>
      </c>
      <c r="BL75" t="e">
        <f t="shared" si="29"/>
        <v>#NUM!</v>
      </c>
      <c r="BM75" t="e">
        <f t="shared" si="29"/>
        <v>#NUM!</v>
      </c>
      <c r="BN75" t="e">
        <f t="shared" si="29"/>
        <v>#NUM!</v>
      </c>
      <c r="BO75" t="e">
        <f t="shared" si="29"/>
        <v>#NUM!</v>
      </c>
      <c r="BP75" t="e">
        <f t="shared" si="29"/>
        <v>#NUM!</v>
      </c>
      <c r="BQ75" t="e">
        <f t="shared" si="29"/>
        <v>#NUM!</v>
      </c>
      <c r="BR75" t="e">
        <f t="shared" si="29"/>
        <v>#NUM!</v>
      </c>
      <c r="BS75" t="e">
        <f t="shared" si="29"/>
        <v>#NUM!</v>
      </c>
      <c r="BT75" t="e">
        <f t="shared" si="29"/>
        <v>#NUM!</v>
      </c>
      <c r="BU75" t="e">
        <f t="shared" si="29"/>
        <v>#NUM!</v>
      </c>
      <c r="BV75" t="e">
        <f t="shared" si="29"/>
        <v>#NUM!</v>
      </c>
      <c r="BW75" t="e">
        <f t="shared" si="29"/>
        <v>#NUM!</v>
      </c>
      <c r="BX75" t="e">
        <f t="shared" si="29"/>
        <v>#NUM!</v>
      </c>
      <c r="BY75" t="e">
        <f t="shared" si="29"/>
        <v>#NUM!</v>
      </c>
      <c r="BZ75" t="e">
        <f t="shared" si="29"/>
        <v>#NUM!</v>
      </c>
      <c r="CA75" t="e">
        <f t="shared" si="29"/>
        <v>#NUM!</v>
      </c>
      <c r="CB75" t="e">
        <f t="shared" si="29"/>
        <v>#NUM!</v>
      </c>
      <c r="CC75" t="e">
        <f t="shared" si="29"/>
        <v>#NUM!</v>
      </c>
      <c r="CD75" t="e">
        <f t="shared" si="29"/>
        <v>#NUM!</v>
      </c>
      <c r="CE75" t="e">
        <f t="shared" si="29"/>
        <v>#NUM!</v>
      </c>
      <c r="CF75" t="e">
        <f t="shared" si="29"/>
        <v>#NUM!</v>
      </c>
      <c r="CG75" t="e">
        <f t="shared" si="29"/>
        <v>#NUM!</v>
      </c>
      <c r="CH75" t="e">
        <f t="shared" si="29"/>
        <v>#NUM!</v>
      </c>
      <c r="CI75" t="e">
        <f t="shared" ref="CI75:DP75" si="30">CI71&amp;CI73</f>
        <v>#NUM!</v>
      </c>
      <c r="CJ75" t="e">
        <f t="shared" si="30"/>
        <v>#NUM!</v>
      </c>
      <c r="CK75" t="e">
        <f t="shared" si="30"/>
        <v>#NUM!</v>
      </c>
      <c r="CL75" t="e">
        <f t="shared" si="30"/>
        <v>#NUM!</v>
      </c>
      <c r="CM75" t="e">
        <f t="shared" si="30"/>
        <v>#NUM!</v>
      </c>
      <c r="CN75" t="e">
        <f t="shared" si="30"/>
        <v>#NUM!</v>
      </c>
      <c r="CO75" t="e">
        <f t="shared" si="30"/>
        <v>#NUM!</v>
      </c>
      <c r="CP75" t="e">
        <f t="shared" si="30"/>
        <v>#NUM!</v>
      </c>
      <c r="CQ75" t="e">
        <f t="shared" si="30"/>
        <v>#NUM!</v>
      </c>
      <c r="CR75" t="e">
        <f t="shared" si="30"/>
        <v>#NUM!</v>
      </c>
      <c r="CS75" t="e">
        <f t="shared" si="30"/>
        <v>#NUM!</v>
      </c>
      <c r="CT75" t="e">
        <f t="shared" si="30"/>
        <v>#NUM!</v>
      </c>
      <c r="CU75" t="e">
        <f t="shared" si="30"/>
        <v>#NUM!</v>
      </c>
      <c r="CV75" t="e">
        <f t="shared" si="30"/>
        <v>#NUM!</v>
      </c>
      <c r="CW75" t="e">
        <f t="shared" si="30"/>
        <v>#NUM!</v>
      </c>
      <c r="CX75" t="e">
        <f t="shared" si="30"/>
        <v>#NUM!</v>
      </c>
      <c r="CY75" t="e">
        <f t="shared" si="30"/>
        <v>#NUM!</v>
      </c>
      <c r="CZ75" t="e">
        <f t="shared" si="30"/>
        <v>#NUM!</v>
      </c>
      <c r="DA75" t="e">
        <f t="shared" si="30"/>
        <v>#NUM!</v>
      </c>
      <c r="DB75" t="e">
        <f t="shared" si="30"/>
        <v>#NUM!</v>
      </c>
      <c r="DC75" t="e">
        <f t="shared" si="30"/>
        <v>#NUM!</v>
      </c>
      <c r="DD75" t="e">
        <f t="shared" si="30"/>
        <v>#NUM!</v>
      </c>
      <c r="DE75" t="e">
        <f t="shared" si="30"/>
        <v>#NUM!</v>
      </c>
      <c r="DF75" t="e">
        <f t="shared" si="30"/>
        <v>#NUM!</v>
      </c>
      <c r="DG75" t="e">
        <f t="shared" si="30"/>
        <v>#NUM!</v>
      </c>
      <c r="DH75" t="e">
        <f t="shared" si="30"/>
        <v>#NUM!</v>
      </c>
      <c r="DI75" t="e">
        <f t="shared" si="30"/>
        <v>#NUM!</v>
      </c>
      <c r="DJ75" t="e">
        <f t="shared" si="30"/>
        <v>#NUM!</v>
      </c>
      <c r="DK75" t="e">
        <f t="shared" si="30"/>
        <v>#NUM!</v>
      </c>
      <c r="DL75" t="e">
        <f t="shared" si="30"/>
        <v>#NUM!</v>
      </c>
      <c r="DM75" t="e">
        <f t="shared" si="30"/>
        <v>#NUM!</v>
      </c>
      <c r="DN75" t="e">
        <f t="shared" si="30"/>
        <v>#NUM!</v>
      </c>
      <c r="DO75" t="e">
        <f t="shared" si="30"/>
        <v>#NUM!</v>
      </c>
      <c r="DP75" t="e">
        <f t="shared" si="30"/>
        <v>#NUM!</v>
      </c>
    </row>
  </sheetData>
  <mergeCells count="1">
    <mergeCell ref="F5:F10"/>
  </mergeCells>
  <conditionalFormatting sqref="V23">
    <cfRule type="cellIs" dxfId="3" priority="1" operator="equal">
      <formula>$V$22</formula>
    </cfRule>
  </conditionalFormatting>
  <pageMargins left="0.7" right="0.7" top="0.75" bottom="0.75" header="0.3" footer="0.3"/>
  <pageSetup paperSize="21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Q75"/>
  <sheetViews>
    <sheetView topLeftCell="A4" workbookViewId="0">
      <selection activeCell="T17" sqref="T17"/>
    </sheetView>
  </sheetViews>
  <sheetFormatPr defaultRowHeight="15" x14ac:dyDescent="0.25"/>
  <cols>
    <col min="1" max="1" width="3.42578125" customWidth="1"/>
    <col min="19" max="19" width="13.7109375" customWidth="1"/>
    <col min="21" max="21" width="13.28515625" customWidth="1"/>
    <col min="24" max="24" width="9.140625" customWidth="1"/>
    <col min="26" max="26" width="9.140625" customWidth="1"/>
  </cols>
  <sheetData>
    <row r="2" spans="2:30" x14ac:dyDescent="0.25">
      <c r="B2" s="15" t="s">
        <v>61</v>
      </c>
      <c r="C2" s="7"/>
      <c r="D2" s="7"/>
      <c r="E2" s="7"/>
      <c r="F2" s="7"/>
      <c r="G2" s="7"/>
      <c r="H2" s="7"/>
      <c r="I2" s="7"/>
      <c r="J2" s="7"/>
    </row>
    <row r="3" spans="2:30" x14ac:dyDescent="0.25">
      <c r="B3" s="7"/>
      <c r="C3" s="7"/>
      <c r="D3" s="7"/>
      <c r="E3" s="7"/>
      <c r="F3" s="7"/>
      <c r="G3" s="7"/>
      <c r="H3" s="7"/>
      <c r="I3" s="7"/>
      <c r="J3" s="7"/>
    </row>
    <row r="4" spans="2:30" ht="15.75" thickBot="1" x14ac:dyDescent="0.3">
      <c r="B4" s="10" t="s">
        <v>4</v>
      </c>
      <c r="C4" s="7"/>
      <c r="D4" s="7"/>
      <c r="E4" s="7"/>
      <c r="F4" s="7"/>
      <c r="G4" s="7"/>
      <c r="H4" s="7"/>
      <c r="I4" s="7"/>
      <c r="J4" s="7"/>
    </row>
    <row r="5" spans="2:30" ht="15.75" thickBot="1" x14ac:dyDescent="0.3">
      <c r="B5" s="6" t="s">
        <v>54</v>
      </c>
      <c r="C5" s="7"/>
      <c r="D5" s="7"/>
      <c r="E5" s="7"/>
      <c r="F5" s="229" t="s">
        <v>60</v>
      </c>
      <c r="G5" s="7" t="s">
        <v>38</v>
      </c>
      <c r="H5" s="7"/>
      <c r="I5" s="7"/>
      <c r="J5" s="11">
        <f>O28</f>
        <v>1</v>
      </c>
      <c r="N5" t="s">
        <v>63</v>
      </c>
      <c r="O5" s="60">
        <f>'Range Check'!L6</f>
        <v>0</v>
      </c>
      <c r="V5">
        <v>0.21994036200657027</v>
      </c>
    </row>
    <row r="6" spans="2:30" ht="15.75" thickBot="1" x14ac:dyDescent="0.3">
      <c r="B6" s="7" t="s">
        <v>57</v>
      </c>
      <c r="C6" s="7"/>
      <c r="D6" s="11">
        <f>O11</f>
        <v>6</v>
      </c>
      <c r="E6" s="7"/>
      <c r="F6" s="229"/>
      <c r="G6" s="7" t="s">
        <v>49</v>
      </c>
      <c r="H6" s="7"/>
      <c r="I6" s="7"/>
      <c r="J6" s="11">
        <f t="shared" ref="J6:J22" si="0">O29</f>
        <v>0</v>
      </c>
    </row>
    <row r="7" spans="2:30" ht="15.75" thickBot="1" x14ac:dyDescent="0.3">
      <c r="B7" s="7"/>
      <c r="C7" s="7"/>
      <c r="D7" s="7"/>
      <c r="E7" s="7"/>
      <c r="F7" s="229"/>
      <c r="G7" s="7" t="s">
        <v>52</v>
      </c>
      <c r="H7" s="7"/>
      <c r="I7" s="7"/>
      <c r="J7" s="11">
        <f t="shared" si="0"/>
        <v>0</v>
      </c>
    </row>
    <row r="8" spans="2:30" ht="15.75" thickBot="1" x14ac:dyDescent="0.3">
      <c r="B8" s="6" t="s">
        <v>55</v>
      </c>
      <c r="C8" s="7"/>
      <c r="D8" s="7"/>
      <c r="E8" s="7"/>
      <c r="F8" s="229"/>
      <c r="G8" s="7" t="s">
        <v>51</v>
      </c>
      <c r="H8" s="7"/>
      <c r="I8" s="7"/>
      <c r="J8" s="11">
        <f t="shared" si="0"/>
        <v>0</v>
      </c>
    </row>
    <row r="9" spans="2:30" ht="15.75" thickBot="1" x14ac:dyDescent="0.3">
      <c r="B9" s="7" t="s">
        <v>15</v>
      </c>
      <c r="C9" s="7"/>
      <c r="D9" s="11">
        <f>O14</f>
        <v>2</v>
      </c>
      <c r="E9" s="7"/>
      <c r="F9" s="229"/>
      <c r="G9" s="7" t="s">
        <v>50</v>
      </c>
      <c r="H9" s="7"/>
      <c r="I9" s="7"/>
      <c r="J9" s="11">
        <f t="shared" si="0"/>
        <v>0</v>
      </c>
    </row>
    <row r="10" spans="2:30" ht="15.75" thickBot="1" x14ac:dyDescent="0.3">
      <c r="B10" s="7" t="s">
        <v>17</v>
      </c>
      <c r="C10" s="7"/>
      <c r="D10" s="11">
        <f>O15</f>
        <v>3</v>
      </c>
      <c r="E10" s="7"/>
      <c r="F10" s="229"/>
      <c r="G10" s="7" t="s">
        <v>46</v>
      </c>
      <c r="H10" s="7"/>
      <c r="I10" s="7"/>
      <c r="J10" s="11">
        <f t="shared" si="0"/>
        <v>1</v>
      </c>
      <c r="M10" s="6" t="s">
        <v>54</v>
      </c>
      <c r="N10" s="7"/>
      <c r="O10" s="7"/>
    </row>
    <row r="11" spans="2:30" ht="15.75" thickBot="1" x14ac:dyDescent="0.3">
      <c r="B11" s="7" t="s">
        <v>19</v>
      </c>
      <c r="C11" s="7"/>
      <c r="D11" s="11">
        <f>O16</f>
        <v>1</v>
      </c>
      <c r="E11" s="7"/>
      <c r="F11" s="7"/>
      <c r="G11" s="7" t="s">
        <v>40</v>
      </c>
      <c r="H11" s="7"/>
      <c r="I11" s="7"/>
      <c r="J11" s="11">
        <f t="shared" si="0"/>
        <v>1</v>
      </c>
      <c r="M11" s="7" t="s">
        <v>57</v>
      </c>
      <c r="N11" s="7"/>
      <c r="O11">
        <f>IF(ROUND(O5*V5,0)&lt;6,6,ROUND(O5*V5,0))</f>
        <v>6</v>
      </c>
    </row>
    <row r="12" spans="2:30" ht="15.75" thickBot="1" x14ac:dyDescent="0.3">
      <c r="B12" s="7"/>
      <c r="C12" s="7"/>
      <c r="D12" s="7"/>
      <c r="E12" s="7"/>
      <c r="F12" s="7"/>
      <c r="G12" s="7" t="s">
        <v>41</v>
      </c>
      <c r="H12" s="7"/>
      <c r="I12" s="7"/>
      <c r="J12" s="11">
        <f t="shared" si="0"/>
        <v>1</v>
      </c>
      <c r="M12" s="7"/>
      <c r="N12" s="7"/>
      <c r="O12" s="7"/>
    </row>
    <row r="13" spans="2:30" ht="15.75" thickBot="1" x14ac:dyDescent="0.3">
      <c r="B13" s="6" t="s">
        <v>56</v>
      </c>
      <c r="C13" s="7"/>
      <c r="D13" s="7"/>
      <c r="E13" s="7"/>
      <c r="F13" s="7"/>
      <c r="G13" s="7" t="s">
        <v>48</v>
      </c>
      <c r="H13" s="7"/>
      <c r="I13" s="7"/>
      <c r="J13" s="11">
        <f t="shared" si="0"/>
        <v>0</v>
      </c>
      <c r="M13" s="6" t="s">
        <v>55</v>
      </c>
      <c r="N13" s="7"/>
      <c r="O13" s="7"/>
      <c r="W13" s="12"/>
    </row>
    <row r="14" spans="2:30" ht="15.75" thickBot="1" x14ac:dyDescent="0.3">
      <c r="B14" s="7" t="s">
        <v>22</v>
      </c>
      <c r="C14" s="7"/>
      <c r="D14" s="11">
        <f t="shared" ref="D14:D19" si="1">O19</f>
        <v>3</v>
      </c>
      <c r="E14" s="7"/>
      <c r="F14" s="7"/>
      <c r="G14" s="7" t="s">
        <v>47</v>
      </c>
      <c r="H14" s="7"/>
      <c r="I14" s="7"/>
      <c r="J14" s="11">
        <f t="shared" si="0"/>
        <v>0</v>
      </c>
      <c r="M14" s="7" t="s">
        <v>15</v>
      </c>
      <c r="N14" s="7"/>
      <c r="O14" s="7">
        <f>IF(SUM($P$14:$P$16)&gt;$O$11,IF(T14=MAX($T$14:$T$16),P14-1,P14),P14)</f>
        <v>2</v>
      </c>
      <c r="P14">
        <f>ROUND(IF(ROUND($O$11*0.243333,1)&lt;2,2,2+((ROUND($O$11*0.243333,1))-2)),0)</f>
        <v>2</v>
      </c>
      <c r="R14">
        <v>0.24333299999999999</v>
      </c>
      <c r="T14" s="128">
        <f>IF(($O$11*0.243333)&lt;2,2,(2+($O$11*0.243333)-2))-2</f>
        <v>0</v>
      </c>
      <c r="W14" s="12"/>
    </row>
    <row r="15" spans="2:30" ht="15.75" thickBot="1" x14ac:dyDescent="0.3">
      <c r="B15" s="7" t="s">
        <v>23</v>
      </c>
      <c r="C15" s="7"/>
      <c r="D15" s="11">
        <f t="shared" si="1"/>
        <v>1</v>
      </c>
      <c r="E15" s="7"/>
      <c r="F15" s="7"/>
      <c r="G15" s="7" t="s">
        <v>39</v>
      </c>
      <c r="H15" s="7"/>
      <c r="I15" s="7"/>
      <c r="J15" s="11">
        <f t="shared" si="0"/>
        <v>0</v>
      </c>
      <c r="M15" s="7" t="s">
        <v>17</v>
      </c>
      <c r="N15" s="7"/>
      <c r="O15" s="7">
        <f>IF(SUM($P$14:$P$16)&gt;$O$11,IF(T15=MAX($T$14:$T$16),P15-1,P15),P15)</f>
        <v>3</v>
      </c>
      <c r="P15">
        <f>ROUND(IF(ROUND($O$11*0.54,1)&lt;3,3,3+((ROUND($O$11*0.54,1))-3)),0)</f>
        <v>3</v>
      </c>
      <c r="R15">
        <v>0.54</v>
      </c>
      <c r="T15" s="128">
        <f>IF(($O$11*0.54)&lt;3,3,(3+($O$11*0.54)-3))-3</f>
        <v>0.24000000000000021</v>
      </c>
      <c r="W15" s="12"/>
      <c r="AC15" s="1"/>
      <c r="AD15" s="1"/>
    </row>
    <row r="16" spans="2:30" ht="15.75" thickBot="1" x14ac:dyDescent="0.3">
      <c r="B16" s="7" t="s">
        <v>24</v>
      </c>
      <c r="C16" s="7"/>
      <c r="D16" s="11">
        <f t="shared" si="1"/>
        <v>0</v>
      </c>
      <c r="E16" s="7"/>
      <c r="F16" s="7"/>
      <c r="G16" s="7" t="s">
        <v>37</v>
      </c>
      <c r="H16" s="7"/>
      <c r="I16" s="7"/>
      <c r="J16" s="11">
        <f t="shared" si="0"/>
        <v>1</v>
      </c>
      <c r="M16" s="7" t="s">
        <v>19</v>
      </c>
      <c r="N16" s="7"/>
      <c r="O16" s="7">
        <f>IF(SUM($P$14:$P$16)&gt;$O$11,IF(T16=MAX($T$14:$T$16),P16-1,P16),P16)</f>
        <v>1</v>
      </c>
      <c r="P16">
        <f>ROUND(IF(ROUND($O$11*0.2166667,1)&lt;1,1,1+((ROUND($O$11*0.2166667,1))-1)),0)</f>
        <v>1</v>
      </c>
      <c r="R16">
        <v>0.21666669999999999</v>
      </c>
      <c r="T16" s="128">
        <f>IF(($O$11*0.2166667)&lt;1,1,(1+($O$11*0.2166667)-1))-1</f>
        <v>0.30000019999999994</v>
      </c>
      <c r="W16" s="61"/>
      <c r="AC16" s="1"/>
      <c r="AD16" s="1"/>
    </row>
    <row r="17" spans="2:30" ht="15.75" thickBot="1" x14ac:dyDescent="0.3">
      <c r="B17" s="7" t="s">
        <v>25</v>
      </c>
      <c r="C17" s="7"/>
      <c r="D17" s="11">
        <f t="shared" si="1"/>
        <v>0</v>
      </c>
      <c r="E17" s="7"/>
      <c r="F17" s="7"/>
      <c r="G17" s="7" t="s">
        <v>36</v>
      </c>
      <c r="H17" s="7"/>
      <c r="I17" s="7"/>
      <c r="J17" s="11">
        <f t="shared" si="0"/>
        <v>1</v>
      </c>
      <c r="M17" s="7"/>
      <c r="N17" s="7"/>
      <c r="O17" s="7"/>
      <c r="AC17" s="1"/>
      <c r="AD17" s="1"/>
    </row>
    <row r="18" spans="2:30" ht="15.75" thickBot="1" x14ac:dyDescent="0.3">
      <c r="B18" s="7" t="s">
        <v>26</v>
      </c>
      <c r="C18" s="7"/>
      <c r="D18" s="11">
        <f t="shared" si="1"/>
        <v>0</v>
      </c>
      <c r="E18" s="7"/>
      <c r="F18" s="7"/>
      <c r="G18" s="7" t="s">
        <v>43</v>
      </c>
      <c r="H18" s="7"/>
      <c r="I18" s="7"/>
      <c r="J18" s="11">
        <f t="shared" si="0"/>
        <v>0</v>
      </c>
      <c r="M18" s="6" t="s">
        <v>56</v>
      </c>
      <c r="N18" s="7"/>
      <c r="O18" s="7"/>
      <c r="AC18" s="1"/>
      <c r="AD18" s="1"/>
    </row>
    <row r="19" spans="2:30" ht="15.75" thickBot="1" x14ac:dyDescent="0.3">
      <c r="B19" s="7" t="s">
        <v>27</v>
      </c>
      <c r="C19" s="7"/>
      <c r="D19" s="11">
        <f t="shared" si="1"/>
        <v>2</v>
      </c>
      <c r="E19" s="7"/>
      <c r="F19" s="7"/>
      <c r="G19" s="7" t="s">
        <v>44</v>
      </c>
      <c r="H19" s="7"/>
      <c r="I19" s="7"/>
      <c r="J19" s="11">
        <f t="shared" si="0"/>
        <v>0</v>
      </c>
      <c r="M19" s="7" t="s">
        <v>22</v>
      </c>
      <c r="N19" s="7"/>
      <c r="O19" s="1">
        <f t="shared" ref="O19:O24" si="2">IF($V$22=($V$23+2),IF(T19=MAX($T$19:$T$24),T19-2,T19),IF($V$22=$V$23,T19,IF($V$22&lt;$V$23,IF(S19=LARGE($S$19:$S$24,2),T19+1,T19),IF($V$22&gt;$V$23,IF(T19=MAX($T$19:$T$24),T19-1,T19),IF($V$22=$V$23,T19,IF($V$22&lt;$V$23,IF(S19=LARGE($S$19:$S$24,2),T19+1,T19),"S"))))))</f>
        <v>3</v>
      </c>
      <c r="Q19">
        <v>3</v>
      </c>
      <c r="R19">
        <v>0.42334574063107999</v>
      </c>
      <c r="S19">
        <f t="shared" ref="S19:S24" si="3">($O$11-6)*R19-ROUNDDOWN(($O$11-6)*R19,0)</f>
        <v>0</v>
      </c>
      <c r="T19">
        <f t="shared" ref="T19:T24" si="4">IF(($O$11-6)*R19-ROUNDDOWN(($O$11-6)*R19,0)&gt;0.49,1,0)+ROUNDDOWN(($O$11-6)*R19,0)+Q19</f>
        <v>3</v>
      </c>
      <c r="AC19" s="1"/>
      <c r="AD19" s="1"/>
    </row>
    <row r="20" spans="2:30" ht="15.75" thickBot="1" x14ac:dyDescent="0.3">
      <c r="B20" s="7"/>
      <c r="C20" s="7"/>
      <c r="D20" s="7"/>
      <c r="E20" s="7"/>
      <c r="F20" s="7"/>
      <c r="G20" s="7" t="s">
        <v>45</v>
      </c>
      <c r="H20" s="7"/>
      <c r="I20" s="7"/>
      <c r="J20" s="11">
        <f t="shared" si="0"/>
        <v>0</v>
      </c>
      <c r="M20" s="7" t="s">
        <v>23</v>
      </c>
      <c r="N20" s="7"/>
      <c r="O20" s="1">
        <f t="shared" si="2"/>
        <v>1</v>
      </c>
      <c r="Q20">
        <v>1</v>
      </c>
      <c r="R20">
        <v>0.17521444886219401</v>
      </c>
      <c r="S20">
        <f t="shared" si="3"/>
        <v>0</v>
      </c>
      <c r="T20">
        <f t="shared" si="4"/>
        <v>1</v>
      </c>
      <c r="AC20" s="1"/>
      <c r="AD20" s="1"/>
    </row>
    <row r="21" spans="2:30" ht="15.75" thickBot="1" x14ac:dyDescent="0.3">
      <c r="B21" s="7"/>
      <c r="C21" s="7"/>
      <c r="D21" s="7"/>
      <c r="E21" s="7"/>
      <c r="F21" s="12"/>
      <c r="G21" s="12" t="s">
        <v>35</v>
      </c>
      <c r="H21" s="12"/>
      <c r="I21" s="7"/>
      <c r="J21" s="11">
        <f t="shared" si="0"/>
        <v>0</v>
      </c>
      <c r="M21" s="7" t="s">
        <v>24</v>
      </c>
      <c r="N21" s="7"/>
      <c r="O21" s="1">
        <f t="shared" si="2"/>
        <v>0</v>
      </c>
      <c r="Q21">
        <v>0</v>
      </c>
      <c r="R21">
        <v>3.0961847559428136E-2</v>
      </c>
      <c r="S21">
        <f t="shared" si="3"/>
        <v>0</v>
      </c>
      <c r="T21">
        <f t="shared" si="4"/>
        <v>0</v>
      </c>
      <c r="AC21" s="1"/>
      <c r="AD21" s="1"/>
    </row>
    <row r="22" spans="2:30" ht="15.75" thickBot="1" x14ac:dyDescent="0.3">
      <c r="B22" s="7"/>
      <c r="C22" s="7"/>
      <c r="D22" s="7"/>
      <c r="E22" s="7"/>
      <c r="F22" s="7"/>
      <c r="G22" s="7" t="s">
        <v>42</v>
      </c>
      <c r="H22" s="7"/>
      <c r="I22" s="7"/>
      <c r="J22" s="11">
        <f t="shared" si="0"/>
        <v>0</v>
      </c>
      <c r="M22" s="7" t="s">
        <v>25</v>
      </c>
      <c r="N22" s="7"/>
      <c r="O22" s="1">
        <f t="shared" si="2"/>
        <v>0</v>
      </c>
      <c r="Q22">
        <v>0</v>
      </c>
      <c r="R22">
        <v>6.5645884442940547E-2</v>
      </c>
      <c r="S22">
        <f t="shared" si="3"/>
        <v>0</v>
      </c>
      <c r="T22">
        <f t="shared" si="4"/>
        <v>0</v>
      </c>
      <c r="V22">
        <f>SUM(T19:T24)</f>
        <v>6</v>
      </c>
      <c r="AC22" s="1"/>
      <c r="AD22" s="1"/>
    </row>
    <row r="23" spans="2:30" x14ac:dyDescent="0.25">
      <c r="B23" s="9"/>
      <c r="C23" s="9"/>
      <c r="D23" s="9"/>
      <c r="E23" s="9"/>
      <c r="F23" s="9"/>
      <c r="G23" s="9"/>
      <c r="H23" s="9"/>
      <c r="I23" s="9"/>
      <c r="J23" s="9"/>
      <c r="M23" s="7" t="s">
        <v>26</v>
      </c>
      <c r="N23" s="7"/>
      <c r="O23" s="1">
        <f t="shared" si="2"/>
        <v>0</v>
      </c>
      <c r="Q23">
        <v>0</v>
      </c>
      <c r="R23">
        <v>8.2159715760088001E-2</v>
      </c>
      <c r="S23">
        <f t="shared" si="3"/>
        <v>0</v>
      </c>
      <c r="T23">
        <f t="shared" si="4"/>
        <v>0</v>
      </c>
      <c r="V23">
        <f>O11</f>
        <v>6</v>
      </c>
      <c r="AC23" s="1"/>
      <c r="AD23" s="1"/>
    </row>
    <row r="24" spans="2:30" x14ac:dyDescent="0.25">
      <c r="M24" s="7" t="s">
        <v>27</v>
      </c>
      <c r="N24" s="7"/>
      <c r="O24" s="1">
        <f t="shared" si="2"/>
        <v>2</v>
      </c>
      <c r="Q24">
        <v>2</v>
      </c>
      <c r="R24">
        <v>0.22267236274426899</v>
      </c>
      <c r="S24">
        <f t="shared" si="3"/>
        <v>0</v>
      </c>
      <c r="T24">
        <f t="shared" si="4"/>
        <v>2</v>
      </c>
      <c r="AC24" s="1"/>
      <c r="AD24" s="1"/>
    </row>
    <row r="25" spans="2:30" x14ac:dyDescent="0.25">
      <c r="M25" s="7"/>
      <c r="N25" s="7"/>
      <c r="O25" s="7"/>
      <c r="P25" s="65"/>
      <c r="AC25" s="1"/>
      <c r="AD25" s="1"/>
    </row>
    <row r="26" spans="2:30" x14ac:dyDescent="0.25">
      <c r="AC26" s="1"/>
      <c r="AD26" s="1"/>
    </row>
    <row r="27" spans="2:30" ht="15.75" thickBot="1" x14ac:dyDescent="0.3"/>
    <row r="28" spans="2:30" ht="15.75" thickBot="1" x14ac:dyDescent="0.3">
      <c r="M28" s="7" t="s">
        <v>38</v>
      </c>
      <c r="N28" s="7"/>
      <c r="O28" s="7">
        <f>P28+Q28</f>
        <v>1</v>
      </c>
      <c r="P28" s="11">
        <v>1</v>
      </c>
      <c r="Q28">
        <f>COUNTIF($75:$75,M28)</f>
        <v>0</v>
      </c>
    </row>
    <row r="29" spans="2:30" ht="15.75" thickBot="1" x14ac:dyDescent="0.3">
      <c r="M29" s="7" t="s">
        <v>49</v>
      </c>
      <c r="N29" s="7"/>
      <c r="O29" s="7">
        <f t="shared" ref="O29:O45" si="5">P29+Q29</f>
        <v>0</v>
      </c>
      <c r="P29" s="11">
        <v>0</v>
      </c>
      <c r="Q29">
        <f t="shared" ref="Q29:Q45" si="6">COUNTIF($75:$75,M29)</f>
        <v>0</v>
      </c>
    </row>
    <row r="30" spans="2:30" ht="15.75" thickBot="1" x14ac:dyDescent="0.3">
      <c r="M30" s="7" t="s">
        <v>52</v>
      </c>
      <c r="N30" s="7"/>
      <c r="O30" s="7">
        <f t="shared" si="5"/>
        <v>0</v>
      </c>
      <c r="P30" s="11">
        <v>0</v>
      </c>
      <c r="Q30">
        <f t="shared" si="6"/>
        <v>0</v>
      </c>
    </row>
    <row r="31" spans="2:30" ht="15.75" thickBot="1" x14ac:dyDescent="0.3">
      <c r="M31" s="7" t="s">
        <v>51</v>
      </c>
      <c r="N31" s="7"/>
      <c r="O31" s="7">
        <f t="shared" si="5"/>
        <v>0</v>
      </c>
      <c r="P31" s="11">
        <v>0</v>
      </c>
      <c r="Q31">
        <f t="shared" si="6"/>
        <v>0</v>
      </c>
    </row>
    <row r="32" spans="2:30" ht="15.75" thickBot="1" x14ac:dyDescent="0.3">
      <c r="M32" s="7" t="s">
        <v>50</v>
      </c>
      <c r="N32" s="7"/>
      <c r="O32" s="7">
        <f t="shared" si="5"/>
        <v>0</v>
      </c>
      <c r="P32" s="11">
        <v>0</v>
      </c>
      <c r="Q32">
        <f t="shared" si="6"/>
        <v>0</v>
      </c>
    </row>
    <row r="33" spans="13:17" ht="15.75" thickBot="1" x14ac:dyDescent="0.3">
      <c r="M33" s="7" t="s">
        <v>46</v>
      </c>
      <c r="N33" s="7"/>
      <c r="O33" s="7">
        <f t="shared" si="5"/>
        <v>1</v>
      </c>
      <c r="P33" s="11">
        <v>1</v>
      </c>
      <c r="Q33">
        <f t="shared" si="6"/>
        <v>0</v>
      </c>
    </row>
    <row r="34" spans="13:17" ht="15.75" thickBot="1" x14ac:dyDescent="0.3">
      <c r="M34" s="7" t="s">
        <v>40</v>
      </c>
      <c r="N34" s="7"/>
      <c r="O34" s="7">
        <f t="shared" si="5"/>
        <v>1</v>
      </c>
      <c r="P34" s="11">
        <v>1</v>
      </c>
      <c r="Q34">
        <f t="shared" si="6"/>
        <v>0</v>
      </c>
    </row>
    <row r="35" spans="13:17" ht="15.75" thickBot="1" x14ac:dyDescent="0.3">
      <c r="M35" s="7" t="s">
        <v>41</v>
      </c>
      <c r="N35" s="7"/>
      <c r="O35" s="7">
        <f t="shared" si="5"/>
        <v>1</v>
      </c>
      <c r="P35" s="11">
        <v>1</v>
      </c>
      <c r="Q35">
        <f t="shared" si="6"/>
        <v>0</v>
      </c>
    </row>
    <row r="36" spans="13:17" ht="15.75" thickBot="1" x14ac:dyDescent="0.3">
      <c r="M36" s="7" t="s">
        <v>48</v>
      </c>
      <c r="N36" s="7"/>
      <c r="O36" s="7">
        <f t="shared" si="5"/>
        <v>0</v>
      </c>
      <c r="P36" s="11">
        <v>0</v>
      </c>
      <c r="Q36">
        <f t="shared" si="6"/>
        <v>0</v>
      </c>
    </row>
    <row r="37" spans="13:17" ht="15.75" thickBot="1" x14ac:dyDescent="0.3">
      <c r="M37" s="7" t="s">
        <v>47</v>
      </c>
      <c r="N37" s="7"/>
      <c r="O37" s="7">
        <f t="shared" si="5"/>
        <v>0</v>
      </c>
      <c r="P37" s="11">
        <v>0</v>
      </c>
      <c r="Q37">
        <f t="shared" si="6"/>
        <v>0</v>
      </c>
    </row>
    <row r="38" spans="13:17" ht="15.75" thickBot="1" x14ac:dyDescent="0.3">
      <c r="M38" s="7" t="s">
        <v>39</v>
      </c>
      <c r="N38" s="7"/>
      <c r="O38" s="7">
        <f t="shared" si="5"/>
        <v>0</v>
      </c>
      <c r="P38" s="11">
        <v>0</v>
      </c>
      <c r="Q38">
        <f t="shared" si="6"/>
        <v>0</v>
      </c>
    </row>
    <row r="39" spans="13:17" ht="15.75" thickBot="1" x14ac:dyDescent="0.3">
      <c r="M39" s="7" t="s">
        <v>37</v>
      </c>
      <c r="N39" s="7"/>
      <c r="O39" s="7">
        <f t="shared" si="5"/>
        <v>1</v>
      </c>
      <c r="P39" s="11">
        <v>1</v>
      </c>
      <c r="Q39">
        <f t="shared" si="6"/>
        <v>0</v>
      </c>
    </row>
    <row r="40" spans="13:17" ht="15.75" thickBot="1" x14ac:dyDescent="0.3">
      <c r="M40" s="7" t="s">
        <v>36</v>
      </c>
      <c r="N40" s="7"/>
      <c r="O40" s="7">
        <f t="shared" si="5"/>
        <v>1</v>
      </c>
      <c r="P40" s="11">
        <v>1</v>
      </c>
      <c r="Q40">
        <f t="shared" si="6"/>
        <v>0</v>
      </c>
    </row>
    <row r="41" spans="13:17" ht="15.75" thickBot="1" x14ac:dyDescent="0.3">
      <c r="M41" s="7" t="s">
        <v>43</v>
      </c>
      <c r="N41" s="7"/>
      <c r="O41" s="7">
        <f t="shared" si="5"/>
        <v>0</v>
      </c>
      <c r="P41" s="11">
        <v>0</v>
      </c>
      <c r="Q41">
        <f t="shared" si="6"/>
        <v>0</v>
      </c>
    </row>
    <row r="42" spans="13:17" ht="15.75" thickBot="1" x14ac:dyDescent="0.3">
      <c r="M42" s="7" t="s">
        <v>44</v>
      </c>
      <c r="N42" s="7"/>
      <c r="O42" s="7">
        <f t="shared" si="5"/>
        <v>0</v>
      </c>
      <c r="P42" s="11">
        <v>0</v>
      </c>
      <c r="Q42">
        <f t="shared" si="6"/>
        <v>0</v>
      </c>
    </row>
    <row r="43" spans="13:17" ht="15.75" thickBot="1" x14ac:dyDescent="0.3">
      <c r="M43" s="7" t="s">
        <v>45</v>
      </c>
      <c r="N43" s="7"/>
      <c r="O43" s="7">
        <f t="shared" si="5"/>
        <v>0</v>
      </c>
      <c r="P43" s="11">
        <v>0</v>
      </c>
      <c r="Q43">
        <f t="shared" si="6"/>
        <v>0</v>
      </c>
    </row>
    <row r="44" spans="13:17" ht="15.75" thickBot="1" x14ac:dyDescent="0.3">
      <c r="M44" s="12" t="s">
        <v>35</v>
      </c>
      <c r="N44" s="12"/>
      <c r="O44" s="7">
        <f t="shared" si="5"/>
        <v>0</v>
      </c>
      <c r="P44" s="11">
        <v>0</v>
      </c>
      <c r="Q44">
        <f t="shared" si="6"/>
        <v>0</v>
      </c>
    </row>
    <row r="45" spans="13:17" ht="15.75" thickBot="1" x14ac:dyDescent="0.3">
      <c r="M45" s="7" t="s">
        <v>42</v>
      </c>
      <c r="N45" s="7"/>
      <c r="O45" s="7">
        <f t="shared" si="5"/>
        <v>0</v>
      </c>
      <c r="P45" s="11">
        <v>0</v>
      </c>
      <c r="Q45">
        <f t="shared" si="6"/>
        <v>0</v>
      </c>
    </row>
    <row r="47" spans="13:17" x14ac:dyDescent="0.25">
      <c r="P47" t="s">
        <v>315</v>
      </c>
      <c r="Q47" t="s">
        <v>316</v>
      </c>
    </row>
    <row r="48" spans="13:17" x14ac:dyDescent="0.25">
      <c r="M48" s="7" t="s">
        <v>22</v>
      </c>
      <c r="N48">
        <v>3</v>
      </c>
      <c r="P48">
        <f>O19</f>
        <v>3</v>
      </c>
      <c r="Q48">
        <f>MAX(0,P48-N48)</f>
        <v>0</v>
      </c>
    </row>
    <row r="49" spans="13:121" x14ac:dyDescent="0.25">
      <c r="M49" s="7" t="s">
        <v>23</v>
      </c>
      <c r="N49">
        <v>1</v>
      </c>
      <c r="P49">
        <f t="shared" ref="P49:P53" si="7">O20</f>
        <v>1</v>
      </c>
      <c r="Q49">
        <f t="shared" ref="Q49:Q57" si="8">MAX(0,P49-N49)</f>
        <v>0</v>
      </c>
    </row>
    <row r="50" spans="13:121" x14ac:dyDescent="0.25">
      <c r="M50" s="7" t="s">
        <v>24</v>
      </c>
      <c r="N50">
        <v>0</v>
      </c>
      <c r="P50">
        <f t="shared" si="7"/>
        <v>0</v>
      </c>
      <c r="Q50">
        <f t="shared" si="8"/>
        <v>0</v>
      </c>
    </row>
    <row r="51" spans="13:121" x14ac:dyDescent="0.25">
      <c r="M51" s="7" t="s">
        <v>25</v>
      </c>
      <c r="N51">
        <v>0</v>
      </c>
      <c r="P51">
        <f t="shared" si="7"/>
        <v>0</v>
      </c>
      <c r="Q51">
        <f t="shared" si="8"/>
        <v>0</v>
      </c>
    </row>
    <row r="52" spans="13:121" x14ac:dyDescent="0.25">
      <c r="M52" s="7" t="s">
        <v>26</v>
      </c>
      <c r="N52">
        <v>0</v>
      </c>
      <c r="P52">
        <f t="shared" si="7"/>
        <v>0</v>
      </c>
      <c r="Q52">
        <f t="shared" si="8"/>
        <v>0</v>
      </c>
    </row>
    <row r="53" spans="13:121" x14ac:dyDescent="0.25">
      <c r="M53" s="7" t="s">
        <v>27</v>
      </c>
      <c r="N53">
        <v>2</v>
      </c>
      <c r="P53">
        <f t="shared" si="7"/>
        <v>2</v>
      </c>
      <c r="Q53">
        <f t="shared" si="8"/>
        <v>0</v>
      </c>
    </row>
    <row r="55" spans="13:121" x14ac:dyDescent="0.25">
      <c r="M55" t="s">
        <v>15</v>
      </c>
      <c r="N55">
        <v>2</v>
      </c>
      <c r="P55">
        <f>O14</f>
        <v>2</v>
      </c>
      <c r="Q55">
        <f t="shared" si="8"/>
        <v>0</v>
      </c>
    </row>
    <row r="56" spans="13:121" x14ac:dyDescent="0.25">
      <c r="M56" t="s">
        <v>17</v>
      </c>
      <c r="N56">
        <v>3</v>
      </c>
      <c r="P56">
        <f t="shared" ref="P56:P57" si="9">O15</f>
        <v>3</v>
      </c>
      <c r="Q56">
        <f t="shared" si="8"/>
        <v>0</v>
      </c>
    </row>
    <row r="57" spans="13:121" x14ac:dyDescent="0.25">
      <c r="M57" t="s">
        <v>19</v>
      </c>
      <c r="N57">
        <v>1</v>
      </c>
      <c r="P57">
        <f t="shared" si="9"/>
        <v>1</v>
      </c>
      <c r="Q57">
        <f t="shared" si="8"/>
        <v>0</v>
      </c>
    </row>
    <row r="59" spans="13:121" x14ac:dyDescent="0.25">
      <c r="T59" t="s">
        <v>22</v>
      </c>
      <c r="U59">
        <f>Q48</f>
        <v>0</v>
      </c>
      <c r="V59" t="e">
        <f>IF(U$71=$T59,U59-1,U59)</f>
        <v>#NUM!</v>
      </c>
      <c r="W59" t="e">
        <f>IF(V$71=$T59,V59-1,V59)</f>
        <v>#NUM!</v>
      </c>
      <c r="X59" t="e">
        <f t="shared" ref="X59:CI62" si="10">IF(W$71=$T59,W59-1,W59)</f>
        <v>#NUM!</v>
      </c>
      <c r="Y59" t="e">
        <f t="shared" si="10"/>
        <v>#NUM!</v>
      </c>
      <c r="Z59" t="e">
        <f t="shared" si="10"/>
        <v>#NUM!</v>
      </c>
      <c r="AA59" t="e">
        <f t="shared" si="10"/>
        <v>#NUM!</v>
      </c>
      <c r="AB59" t="e">
        <f t="shared" si="10"/>
        <v>#NUM!</v>
      </c>
      <c r="AC59" t="e">
        <f t="shared" si="10"/>
        <v>#NUM!</v>
      </c>
      <c r="AD59" t="e">
        <f t="shared" si="10"/>
        <v>#NUM!</v>
      </c>
      <c r="AE59" t="e">
        <f t="shared" si="10"/>
        <v>#NUM!</v>
      </c>
      <c r="AF59" t="e">
        <f t="shared" si="10"/>
        <v>#NUM!</v>
      </c>
      <c r="AG59" t="e">
        <f t="shared" si="10"/>
        <v>#NUM!</v>
      </c>
      <c r="AH59" t="e">
        <f t="shared" si="10"/>
        <v>#NUM!</v>
      </c>
      <c r="AI59" t="e">
        <f t="shared" si="10"/>
        <v>#NUM!</v>
      </c>
      <c r="AJ59" t="e">
        <f t="shared" si="10"/>
        <v>#NUM!</v>
      </c>
      <c r="AK59" t="e">
        <f t="shared" si="10"/>
        <v>#NUM!</v>
      </c>
      <c r="AL59" t="e">
        <f t="shared" si="10"/>
        <v>#NUM!</v>
      </c>
      <c r="AM59" t="e">
        <f t="shared" si="10"/>
        <v>#NUM!</v>
      </c>
      <c r="AN59" t="e">
        <f t="shared" si="10"/>
        <v>#NUM!</v>
      </c>
      <c r="AO59" t="e">
        <f t="shared" si="10"/>
        <v>#NUM!</v>
      </c>
      <c r="AP59" t="e">
        <f t="shared" si="10"/>
        <v>#NUM!</v>
      </c>
      <c r="AQ59" t="e">
        <f t="shared" si="10"/>
        <v>#NUM!</v>
      </c>
      <c r="AR59" t="e">
        <f t="shared" si="10"/>
        <v>#NUM!</v>
      </c>
      <c r="AS59" t="e">
        <f t="shared" si="10"/>
        <v>#NUM!</v>
      </c>
      <c r="AT59" t="e">
        <f t="shared" si="10"/>
        <v>#NUM!</v>
      </c>
      <c r="AU59" t="e">
        <f t="shared" si="10"/>
        <v>#NUM!</v>
      </c>
      <c r="AV59" t="e">
        <f t="shared" si="10"/>
        <v>#NUM!</v>
      </c>
      <c r="AW59" t="e">
        <f t="shared" si="10"/>
        <v>#NUM!</v>
      </c>
      <c r="AX59" t="e">
        <f t="shared" si="10"/>
        <v>#NUM!</v>
      </c>
      <c r="AY59" t="e">
        <f t="shared" si="10"/>
        <v>#NUM!</v>
      </c>
      <c r="AZ59" t="e">
        <f t="shared" si="10"/>
        <v>#NUM!</v>
      </c>
      <c r="BA59" t="e">
        <f t="shared" si="10"/>
        <v>#NUM!</v>
      </c>
      <c r="BB59" t="e">
        <f t="shared" si="10"/>
        <v>#NUM!</v>
      </c>
      <c r="BC59" t="e">
        <f t="shared" si="10"/>
        <v>#NUM!</v>
      </c>
      <c r="BD59" t="e">
        <f t="shared" si="10"/>
        <v>#NUM!</v>
      </c>
      <c r="BE59" t="e">
        <f t="shared" si="10"/>
        <v>#NUM!</v>
      </c>
      <c r="BF59" t="e">
        <f t="shared" si="10"/>
        <v>#NUM!</v>
      </c>
      <c r="BG59" t="e">
        <f t="shared" si="10"/>
        <v>#NUM!</v>
      </c>
      <c r="BH59" t="e">
        <f t="shared" si="10"/>
        <v>#NUM!</v>
      </c>
      <c r="BI59" t="e">
        <f t="shared" si="10"/>
        <v>#NUM!</v>
      </c>
      <c r="BJ59" t="e">
        <f t="shared" si="10"/>
        <v>#NUM!</v>
      </c>
      <c r="BK59" t="e">
        <f t="shared" si="10"/>
        <v>#NUM!</v>
      </c>
      <c r="BL59" t="e">
        <f t="shared" si="10"/>
        <v>#NUM!</v>
      </c>
      <c r="BM59" t="e">
        <f t="shared" si="10"/>
        <v>#NUM!</v>
      </c>
      <c r="BN59" t="e">
        <f t="shared" si="10"/>
        <v>#NUM!</v>
      </c>
      <c r="BO59" t="e">
        <f t="shared" si="10"/>
        <v>#NUM!</v>
      </c>
      <c r="BP59" t="e">
        <f t="shared" si="10"/>
        <v>#NUM!</v>
      </c>
      <c r="BQ59" t="e">
        <f t="shared" si="10"/>
        <v>#NUM!</v>
      </c>
      <c r="BR59" t="e">
        <f t="shared" si="10"/>
        <v>#NUM!</v>
      </c>
      <c r="BS59" t="e">
        <f t="shared" si="10"/>
        <v>#NUM!</v>
      </c>
      <c r="BT59" t="e">
        <f t="shared" si="10"/>
        <v>#NUM!</v>
      </c>
      <c r="BU59" t="e">
        <f t="shared" si="10"/>
        <v>#NUM!</v>
      </c>
      <c r="BV59" t="e">
        <f t="shared" si="10"/>
        <v>#NUM!</v>
      </c>
      <c r="BW59" t="e">
        <f t="shared" si="10"/>
        <v>#NUM!</v>
      </c>
      <c r="BX59" t="e">
        <f t="shared" si="10"/>
        <v>#NUM!</v>
      </c>
      <c r="BY59" t="e">
        <f t="shared" si="10"/>
        <v>#NUM!</v>
      </c>
      <c r="BZ59" t="e">
        <f t="shared" si="10"/>
        <v>#NUM!</v>
      </c>
      <c r="CA59" t="e">
        <f t="shared" si="10"/>
        <v>#NUM!</v>
      </c>
      <c r="CB59" t="e">
        <f t="shared" si="10"/>
        <v>#NUM!</v>
      </c>
      <c r="CC59" t="e">
        <f t="shared" si="10"/>
        <v>#NUM!</v>
      </c>
      <c r="CD59" t="e">
        <f t="shared" si="10"/>
        <v>#NUM!</v>
      </c>
      <c r="CE59" t="e">
        <f t="shared" si="10"/>
        <v>#NUM!</v>
      </c>
      <c r="CF59" t="e">
        <f t="shared" si="10"/>
        <v>#NUM!</v>
      </c>
      <c r="CG59" t="e">
        <f t="shared" si="10"/>
        <v>#NUM!</v>
      </c>
      <c r="CH59" t="e">
        <f t="shared" si="10"/>
        <v>#NUM!</v>
      </c>
      <c r="CI59" t="e">
        <f t="shared" si="10"/>
        <v>#NUM!</v>
      </c>
      <c r="CJ59" t="e">
        <f t="shared" ref="CJ59:DP64" si="11">IF(CI$71=$T59,CI59-1,CI59)</f>
        <v>#NUM!</v>
      </c>
      <c r="CK59" t="e">
        <f t="shared" si="11"/>
        <v>#NUM!</v>
      </c>
      <c r="CL59" t="e">
        <f t="shared" si="11"/>
        <v>#NUM!</v>
      </c>
      <c r="CM59" t="e">
        <f t="shared" si="11"/>
        <v>#NUM!</v>
      </c>
      <c r="CN59" t="e">
        <f t="shared" si="11"/>
        <v>#NUM!</v>
      </c>
      <c r="CO59" t="e">
        <f t="shared" si="11"/>
        <v>#NUM!</v>
      </c>
      <c r="CP59" t="e">
        <f t="shared" si="11"/>
        <v>#NUM!</v>
      </c>
      <c r="CQ59" t="e">
        <f t="shared" si="11"/>
        <v>#NUM!</v>
      </c>
      <c r="CR59" t="e">
        <f t="shared" si="11"/>
        <v>#NUM!</v>
      </c>
      <c r="CS59" t="e">
        <f t="shared" si="11"/>
        <v>#NUM!</v>
      </c>
      <c r="CT59" t="e">
        <f t="shared" si="11"/>
        <v>#NUM!</v>
      </c>
      <c r="CU59" t="e">
        <f t="shared" si="11"/>
        <v>#NUM!</v>
      </c>
      <c r="CV59" t="e">
        <f t="shared" si="11"/>
        <v>#NUM!</v>
      </c>
      <c r="CW59" t="e">
        <f t="shared" si="11"/>
        <v>#NUM!</v>
      </c>
      <c r="CX59" t="e">
        <f t="shared" si="11"/>
        <v>#NUM!</v>
      </c>
      <c r="CY59" t="e">
        <f t="shared" si="11"/>
        <v>#NUM!</v>
      </c>
      <c r="CZ59" t="e">
        <f t="shared" si="11"/>
        <v>#NUM!</v>
      </c>
      <c r="DA59" t="e">
        <f t="shared" si="11"/>
        <v>#NUM!</v>
      </c>
      <c r="DB59" t="e">
        <f t="shared" si="11"/>
        <v>#NUM!</v>
      </c>
      <c r="DC59" t="e">
        <f t="shared" si="11"/>
        <v>#NUM!</v>
      </c>
      <c r="DD59" t="e">
        <f t="shared" si="11"/>
        <v>#NUM!</v>
      </c>
      <c r="DE59" t="e">
        <f t="shared" si="11"/>
        <v>#NUM!</v>
      </c>
      <c r="DF59" t="e">
        <f t="shared" si="11"/>
        <v>#NUM!</v>
      </c>
      <c r="DG59" t="e">
        <f t="shared" si="11"/>
        <v>#NUM!</v>
      </c>
      <c r="DH59" t="e">
        <f t="shared" si="11"/>
        <v>#NUM!</v>
      </c>
      <c r="DI59" t="e">
        <f t="shared" si="11"/>
        <v>#NUM!</v>
      </c>
      <c r="DJ59" t="e">
        <f t="shared" si="11"/>
        <v>#NUM!</v>
      </c>
      <c r="DK59" t="e">
        <f t="shared" si="11"/>
        <v>#NUM!</v>
      </c>
      <c r="DL59" t="e">
        <f t="shared" si="11"/>
        <v>#NUM!</v>
      </c>
      <c r="DM59" t="e">
        <f t="shared" si="11"/>
        <v>#NUM!</v>
      </c>
      <c r="DN59" t="e">
        <f t="shared" si="11"/>
        <v>#NUM!</v>
      </c>
      <c r="DO59" t="e">
        <f t="shared" si="11"/>
        <v>#NUM!</v>
      </c>
      <c r="DP59" t="e">
        <f t="shared" si="11"/>
        <v>#NUM!</v>
      </c>
      <c r="DQ59" t="s">
        <v>22</v>
      </c>
    </row>
    <row r="60" spans="13:121" x14ac:dyDescent="0.25">
      <c r="T60" t="s">
        <v>23</v>
      </c>
      <c r="U60">
        <f t="shared" ref="U60:U64" si="12">Q49</f>
        <v>0</v>
      </c>
      <c r="V60" t="e">
        <f t="shared" ref="V60:AK64" si="13">IF(U$71=$T60,U60-1,U60)</f>
        <v>#NUM!</v>
      </c>
      <c r="W60" t="e">
        <f>IF(V$71=$T60,V60-1,V60)</f>
        <v>#NUM!</v>
      </c>
      <c r="X60" t="e">
        <f t="shared" si="10"/>
        <v>#NUM!</v>
      </c>
      <c r="Y60" t="e">
        <f t="shared" si="10"/>
        <v>#NUM!</v>
      </c>
      <c r="Z60" t="e">
        <f t="shared" si="10"/>
        <v>#NUM!</v>
      </c>
      <c r="AA60" t="e">
        <f t="shared" si="10"/>
        <v>#NUM!</v>
      </c>
      <c r="AB60" t="e">
        <f t="shared" si="10"/>
        <v>#NUM!</v>
      </c>
      <c r="AC60" t="e">
        <f t="shared" si="10"/>
        <v>#NUM!</v>
      </c>
      <c r="AD60" t="e">
        <f t="shared" si="10"/>
        <v>#NUM!</v>
      </c>
      <c r="AE60" t="e">
        <f t="shared" si="10"/>
        <v>#NUM!</v>
      </c>
      <c r="AF60" t="e">
        <f t="shared" si="10"/>
        <v>#NUM!</v>
      </c>
      <c r="AG60" t="e">
        <f t="shared" si="10"/>
        <v>#NUM!</v>
      </c>
      <c r="AH60" t="e">
        <f t="shared" si="10"/>
        <v>#NUM!</v>
      </c>
      <c r="AI60" t="e">
        <f t="shared" si="10"/>
        <v>#NUM!</v>
      </c>
      <c r="AJ60" t="e">
        <f t="shared" si="10"/>
        <v>#NUM!</v>
      </c>
      <c r="AK60" t="e">
        <f t="shared" si="10"/>
        <v>#NUM!</v>
      </c>
      <c r="AL60" t="e">
        <f t="shared" si="10"/>
        <v>#NUM!</v>
      </c>
      <c r="AM60" t="e">
        <f t="shared" si="10"/>
        <v>#NUM!</v>
      </c>
      <c r="AN60" t="e">
        <f t="shared" si="10"/>
        <v>#NUM!</v>
      </c>
      <c r="AO60" t="e">
        <f t="shared" si="10"/>
        <v>#NUM!</v>
      </c>
      <c r="AP60" t="e">
        <f t="shared" si="10"/>
        <v>#NUM!</v>
      </c>
      <c r="AQ60" t="e">
        <f t="shared" si="10"/>
        <v>#NUM!</v>
      </c>
      <c r="AR60" t="e">
        <f t="shared" si="10"/>
        <v>#NUM!</v>
      </c>
      <c r="AS60" t="e">
        <f t="shared" si="10"/>
        <v>#NUM!</v>
      </c>
      <c r="AT60" t="e">
        <f t="shared" si="10"/>
        <v>#NUM!</v>
      </c>
      <c r="AU60" t="e">
        <f t="shared" si="10"/>
        <v>#NUM!</v>
      </c>
      <c r="AV60" t="e">
        <f t="shared" si="10"/>
        <v>#NUM!</v>
      </c>
      <c r="AW60" t="e">
        <f t="shared" si="10"/>
        <v>#NUM!</v>
      </c>
      <c r="AX60" t="e">
        <f t="shared" si="10"/>
        <v>#NUM!</v>
      </c>
      <c r="AY60" t="e">
        <f t="shared" si="10"/>
        <v>#NUM!</v>
      </c>
      <c r="AZ60" t="e">
        <f t="shared" si="10"/>
        <v>#NUM!</v>
      </c>
      <c r="BA60" t="e">
        <f t="shared" si="10"/>
        <v>#NUM!</v>
      </c>
      <c r="BB60" t="e">
        <f t="shared" si="10"/>
        <v>#NUM!</v>
      </c>
      <c r="BC60" t="e">
        <f t="shared" si="10"/>
        <v>#NUM!</v>
      </c>
      <c r="BD60" t="e">
        <f t="shared" si="10"/>
        <v>#NUM!</v>
      </c>
      <c r="BE60" t="e">
        <f t="shared" si="10"/>
        <v>#NUM!</v>
      </c>
      <c r="BF60" t="e">
        <f t="shared" si="10"/>
        <v>#NUM!</v>
      </c>
      <c r="BG60" t="e">
        <f t="shared" si="10"/>
        <v>#NUM!</v>
      </c>
      <c r="BH60" t="e">
        <f t="shared" si="10"/>
        <v>#NUM!</v>
      </c>
      <c r="BI60" t="e">
        <f t="shared" si="10"/>
        <v>#NUM!</v>
      </c>
      <c r="BJ60" t="e">
        <f t="shared" si="10"/>
        <v>#NUM!</v>
      </c>
      <c r="BK60" t="e">
        <f t="shared" si="10"/>
        <v>#NUM!</v>
      </c>
      <c r="BL60" t="e">
        <f t="shared" si="10"/>
        <v>#NUM!</v>
      </c>
      <c r="BM60" t="e">
        <f t="shared" si="10"/>
        <v>#NUM!</v>
      </c>
      <c r="BN60" t="e">
        <f t="shared" si="10"/>
        <v>#NUM!</v>
      </c>
      <c r="BO60" t="e">
        <f t="shared" si="10"/>
        <v>#NUM!</v>
      </c>
      <c r="BP60" t="e">
        <f t="shared" si="10"/>
        <v>#NUM!</v>
      </c>
      <c r="BQ60" t="e">
        <f t="shared" si="10"/>
        <v>#NUM!</v>
      </c>
      <c r="BR60" t="e">
        <f t="shared" si="10"/>
        <v>#NUM!</v>
      </c>
      <c r="BS60" t="e">
        <f t="shared" si="10"/>
        <v>#NUM!</v>
      </c>
      <c r="BT60" t="e">
        <f t="shared" si="10"/>
        <v>#NUM!</v>
      </c>
      <c r="BU60" t="e">
        <f t="shared" si="10"/>
        <v>#NUM!</v>
      </c>
      <c r="BV60" t="e">
        <f t="shared" si="10"/>
        <v>#NUM!</v>
      </c>
      <c r="BW60" t="e">
        <f t="shared" si="10"/>
        <v>#NUM!</v>
      </c>
      <c r="BX60" t="e">
        <f t="shared" si="10"/>
        <v>#NUM!</v>
      </c>
      <c r="BY60" t="e">
        <f t="shared" si="10"/>
        <v>#NUM!</v>
      </c>
      <c r="BZ60" t="e">
        <f t="shared" si="10"/>
        <v>#NUM!</v>
      </c>
      <c r="CA60" t="e">
        <f t="shared" si="10"/>
        <v>#NUM!</v>
      </c>
      <c r="CB60" t="e">
        <f t="shared" si="10"/>
        <v>#NUM!</v>
      </c>
      <c r="CC60" t="e">
        <f t="shared" si="10"/>
        <v>#NUM!</v>
      </c>
      <c r="CD60" t="e">
        <f t="shared" si="10"/>
        <v>#NUM!</v>
      </c>
      <c r="CE60" t="e">
        <f t="shared" si="10"/>
        <v>#NUM!</v>
      </c>
      <c r="CF60" t="e">
        <f t="shared" si="10"/>
        <v>#NUM!</v>
      </c>
      <c r="CG60" t="e">
        <f t="shared" si="10"/>
        <v>#NUM!</v>
      </c>
      <c r="CH60" t="e">
        <f t="shared" si="10"/>
        <v>#NUM!</v>
      </c>
      <c r="CI60" t="e">
        <f t="shared" si="10"/>
        <v>#NUM!</v>
      </c>
      <c r="CJ60" t="e">
        <f t="shared" si="11"/>
        <v>#NUM!</v>
      </c>
      <c r="CK60" t="e">
        <f t="shared" si="11"/>
        <v>#NUM!</v>
      </c>
      <c r="CL60" t="e">
        <f t="shared" si="11"/>
        <v>#NUM!</v>
      </c>
      <c r="CM60" t="e">
        <f t="shared" si="11"/>
        <v>#NUM!</v>
      </c>
      <c r="CN60" t="e">
        <f t="shared" si="11"/>
        <v>#NUM!</v>
      </c>
      <c r="CO60" t="e">
        <f t="shared" si="11"/>
        <v>#NUM!</v>
      </c>
      <c r="CP60" t="e">
        <f t="shared" si="11"/>
        <v>#NUM!</v>
      </c>
      <c r="CQ60" t="e">
        <f t="shared" si="11"/>
        <v>#NUM!</v>
      </c>
      <c r="CR60" t="e">
        <f t="shared" si="11"/>
        <v>#NUM!</v>
      </c>
      <c r="CS60" t="e">
        <f t="shared" si="11"/>
        <v>#NUM!</v>
      </c>
      <c r="CT60" t="e">
        <f t="shared" si="11"/>
        <v>#NUM!</v>
      </c>
      <c r="CU60" t="e">
        <f t="shared" si="11"/>
        <v>#NUM!</v>
      </c>
      <c r="CV60" t="e">
        <f t="shared" si="11"/>
        <v>#NUM!</v>
      </c>
      <c r="CW60" t="e">
        <f t="shared" si="11"/>
        <v>#NUM!</v>
      </c>
      <c r="CX60" t="e">
        <f t="shared" si="11"/>
        <v>#NUM!</v>
      </c>
      <c r="CY60" t="e">
        <f t="shared" si="11"/>
        <v>#NUM!</v>
      </c>
      <c r="CZ60" t="e">
        <f t="shared" si="11"/>
        <v>#NUM!</v>
      </c>
      <c r="DA60" t="e">
        <f t="shared" si="11"/>
        <v>#NUM!</v>
      </c>
      <c r="DB60" t="e">
        <f t="shared" si="11"/>
        <v>#NUM!</v>
      </c>
      <c r="DC60" t="e">
        <f t="shared" si="11"/>
        <v>#NUM!</v>
      </c>
      <c r="DD60" t="e">
        <f t="shared" si="11"/>
        <v>#NUM!</v>
      </c>
      <c r="DE60" t="e">
        <f t="shared" si="11"/>
        <v>#NUM!</v>
      </c>
      <c r="DF60" t="e">
        <f t="shared" si="11"/>
        <v>#NUM!</v>
      </c>
      <c r="DG60" t="e">
        <f t="shared" si="11"/>
        <v>#NUM!</v>
      </c>
      <c r="DH60" t="e">
        <f t="shared" si="11"/>
        <v>#NUM!</v>
      </c>
      <c r="DI60" t="e">
        <f t="shared" si="11"/>
        <v>#NUM!</v>
      </c>
      <c r="DJ60" t="e">
        <f t="shared" si="11"/>
        <v>#NUM!</v>
      </c>
      <c r="DK60" t="e">
        <f t="shared" si="11"/>
        <v>#NUM!</v>
      </c>
      <c r="DL60" t="e">
        <f t="shared" si="11"/>
        <v>#NUM!</v>
      </c>
      <c r="DM60" t="e">
        <f t="shared" si="11"/>
        <v>#NUM!</v>
      </c>
      <c r="DN60" t="e">
        <f t="shared" si="11"/>
        <v>#NUM!</v>
      </c>
      <c r="DO60" t="e">
        <f t="shared" si="11"/>
        <v>#NUM!</v>
      </c>
      <c r="DP60" t="e">
        <f t="shared" si="11"/>
        <v>#NUM!</v>
      </c>
      <c r="DQ60" t="s">
        <v>23</v>
      </c>
    </row>
    <row r="61" spans="13:121" x14ac:dyDescent="0.25">
      <c r="T61" t="s">
        <v>24</v>
      </c>
      <c r="U61">
        <f t="shared" si="12"/>
        <v>0</v>
      </c>
      <c r="V61" t="e">
        <f t="shared" si="13"/>
        <v>#NUM!</v>
      </c>
      <c r="W61" t="e">
        <f t="shared" si="13"/>
        <v>#NUM!</v>
      </c>
      <c r="X61" t="e">
        <f t="shared" si="10"/>
        <v>#NUM!</v>
      </c>
      <c r="Y61" t="e">
        <f t="shared" si="10"/>
        <v>#NUM!</v>
      </c>
      <c r="Z61" t="e">
        <f t="shared" si="10"/>
        <v>#NUM!</v>
      </c>
      <c r="AA61" t="e">
        <f t="shared" si="10"/>
        <v>#NUM!</v>
      </c>
      <c r="AB61" t="e">
        <f t="shared" si="10"/>
        <v>#NUM!</v>
      </c>
      <c r="AC61" t="e">
        <f t="shared" si="10"/>
        <v>#NUM!</v>
      </c>
      <c r="AD61" t="e">
        <f t="shared" si="10"/>
        <v>#NUM!</v>
      </c>
      <c r="AE61" t="e">
        <f t="shared" si="10"/>
        <v>#NUM!</v>
      </c>
      <c r="AF61" t="e">
        <f t="shared" si="10"/>
        <v>#NUM!</v>
      </c>
      <c r="AG61" t="e">
        <f t="shared" si="10"/>
        <v>#NUM!</v>
      </c>
      <c r="AH61" t="e">
        <f t="shared" si="10"/>
        <v>#NUM!</v>
      </c>
      <c r="AI61" t="e">
        <f t="shared" si="10"/>
        <v>#NUM!</v>
      </c>
      <c r="AJ61" t="e">
        <f t="shared" si="10"/>
        <v>#NUM!</v>
      </c>
      <c r="AK61" t="e">
        <f t="shared" si="10"/>
        <v>#NUM!</v>
      </c>
      <c r="AL61" t="e">
        <f t="shared" si="10"/>
        <v>#NUM!</v>
      </c>
      <c r="AM61" t="e">
        <f t="shared" si="10"/>
        <v>#NUM!</v>
      </c>
      <c r="AN61" t="e">
        <f t="shared" si="10"/>
        <v>#NUM!</v>
      </c>
      <c r="AO61" t="e">
        <f t="shared" si="10"/>
        <v>#NUM!</v>
      </c>
      <c r="AP61" t="e">
        <f t="shared" si="10"/>
        <v>#NUM!</v>
      </c>
      <c r="AQ61" t="e">
        <f t="shared" si="10"/>
        <v>#NUM!</v>
      </c>
      <c r="AR61" t="e">
        <f t="shared" si="10"/>
        <v>#NUM!</v>
      </c>
      <c r="AS61" t="e">
        <f t="shared" si="10"/>
        <v>#NUM!</v>
      </c>
      <c r="AT61" t="e">
        <f t="shared" si="10"/>
        <v>#NUM!</v>
      </c>
      <c r="AU61" t="e">
        <f t="shared" si="10"/>
        <v>#NUM!</v>
      </c>
      <c r="AV61" t="e">
        <f t="shared" si="10"/>
        <v>#NUM!</v>
      </c>
      <c r="AW61" t="e">
        <f t="shared" si="10"/>
        <v>#NUM!</v>
      </c>
      <c r="AX61" t="e">
        <f t="shared" si="10"/>
        <v>#NUM!</v>
      </c>
      <c r="AY61" t="e">
        <f t="shared" si="10"/>
        <v>#NUM!</v>
      </c>
      <c r="AZ61" t="e">
        <f t="shared" si="10"/>
        <v>#NUM!</v>
      </c>
      <c r="BA61" t="e">
        <f t="shared" si="10"/>
        <v>#NUM!</v>
      </c>
      <c r="BB61" t="e">
        <f t="shared" si="10"/>
        <v>#NUM!</v>
      </c>
      <c r="BC61" t="e">
        <f t="shared" si="10"/>
        <v>#NUM!</v>
      </c>
      <c r="BD61" t="e">
        <f t="shared" si="10"/>
        <v>#NUM!</v>
      </c>
      <c r="BE61" t="e">
        <f t="shared" si="10"/>
        <v>#NUM!</v>
      </c>
      <c r="BF61" t="e">
        <f t="shared" si="10"/>
        <v>#NUM!</v>
      </c>
      <c r="BG61" t="e">
        <f t="shared" si="10"/>
        <v>#NUM!</v>
      </c>
      <c r="BH61" t="e">
        <f t="shared" si="10"/>
        <v>#NUM!</v>
      </c>
      <c r="BI61" t="e">
        <f t="shared" si="10"/>
        <v>#NUM!</v>
      </c>
      <c r="BJ61" t="e">
        <f t="shared" si="10"/>
        <v>#NUM!</v>
      </c>
      <c r="BK61" t="e">
        <f t="shared" si="10"/>
        <v>#NUM!</v>
      </c>
      <c r="BL61" t="e">
        <f t="shared" si="10"/>
        <v>#NUM!</v>
      </c>
      <c r="BM61" t="e">
        <f t="shared" si="10"/>
        <v>#NUM!</v>
      </c>
      <c r="BN61" t="e">
        <f t="shared" si="10"/>
        <v>#NUM!</v>
      </c>
      <c r="BO61" t="e">
        <f t="shared" si="10"/>
        <v>#NUM!</v>
      </c>
      <c r="BP61" t="e">
        <f t="shared" si="10"/>
        <v>#NUM!</v>
      </c>
      <c r="BQ61" t="e">
        <f t="shared" si="10"/>
        <v>#NUM!</v>
      </c>
      <c r="BR61" t="e">
        <f t="shared" si="10"/>
        <v>#NUM!</v>
      </c>
      <c r="BS61" t="e">
        <f t="shared" si="10"/>
        <v>#NUM!</v>
      </c>
      <c r="BT61" t="e">
        <f t="shared" si="10"/>
        <v>#NUM!</v>
      </c>
      <c r="BU61" t="e">
        <f t="shared" si="10"/>
        <v>#NUM!</v>
      </c>
      <c r="BV61" t="e">
        <f t="shared" si="10"/>
        <v>#NUM!</v>
      </c>
      <c r="BW61" t="e">
        <f t="shared" si="10"/>
        <v>#NUM!</v>
      </c>
      <c r="BX61" t="e">
        <f t="shared" si="10"/>
        <v>#NUM!</v>
      </c>
      <c r="BY61" t="e">
        <f t="shared" si="10"/>
        <v>#NUM!</v>
      </c>
      <c r="BZ61" t="e">
        <f t="shared" si="10"/>
        <v>#NUM!</v>
      </c>
      <c r="CA61" t="e">
        <f t="shared" si="10"/>
        <v>#NUM!</v>
      </c>
      <c r="CB61" t="e">
        <f t="shared" si="10"/>
        <v>#NUM!</v>
      </c>
      <c r="CC61" t="e">
        <f t="shared" si="10"/>
        <v>#NUM!</v>
      </c>
      <c r="CD61" t="e">
        <f t="shared" si="10"/>
        <v>#NUM!</v>
      </c>
      <c r="CE61" t="e">
        <f t="shared" si="10"/>
        <v>#NUM!</v>
      </c>
      <c r="CF61" t="e">
        <f t="shared" si="10"/>
        <v>#NUM!</v>
      </c>
      <c r="CG61" t="e">
        <f t="shared" si="10"/>
        <v>#NUM!</v>
      </c>
      <c r="CH61" t="e">
        <f t="shared" si="10"/>
        <v>#NUM!</v>
      </c>
      <c r="CI61" t="e">
        <f t="shared" si="10"/>
        <v>#NUM!</v>
      </c>
      <c r="CJ61" t="e">
        <f t="shared" si="11"/>
        <v>#NUM!</v>
      </c>
      <c r="CK61" t="e">
        <f t="shared" si="11"/>
        <v>#NUM!</v>
      </c>
      <c r="CL61" t="e">
        <f t="shared" si="11"/>
        <v>#NUM!</v>
      </c>
      <c r="CM61" t="e">
        <f t="shared" si="11"/>
        <v>#NUM!</v>
      </c>
      <c r="CN61" t="e">
        <f t="shared" si="11"/>
        <v>#NUM!</v>
      </c>
      <c r="CO61" t="e">
        <f t="shared" si="11"/>
        <v>#NUM!</v>
      </c>
      <c r="CP61" t="e">
        <f t="shared" si="11"/>
        <v>#NUM!</v>
      </c>
      <c r="CQ61" t="e">
        <f t="shared" si="11"/>
        <v>#NUM!</v>
      </c>
      <c r="CR61" t="e">
        <f t="shared" si="11"/>
        <v>#NUM!</v>
      </c>
      <c r="CS61" t="e">
        <f t="shared" si="11"/>
        <v>#NUM!</v>
      </c>
      <c r="CT61" t="e">
        <f t="shared" si="11"/>
        <v>#NUM!</v>
      </c>
      <c r="CU61" t="e">
        <f t="shared" si="11"/>
        <v>#NUM!</v>
      </c>
      <c r="CV61" t="e">
        <f t="shared" si="11"/>
        <v>#NUM!</v>
      </c>
      <c r="CW61" t="e">
        <f t="shared" si="11"/>
        <v>#NUM!</v>
      </c>
      <c r="CX61" t="e">
        <f t="shared" si="11"/>
        <v>#NUM!</v>
      </c>
      <c r="CY61" t="e">
        <f t="shared" si="11"/>
        <v>#NUM!</v>
      </c>
      <c r="CZ61" t="e">
        <f t="shared" si="11"/>
        <v>#NUM!</v>
      </c>
      <c r="DA61" t="e">
        <f t="shared" si="11"/>
        <v>#NUM!</v>
      </c>
      <c r="DB61" t="e">
        <f t="shared" si="11"/>
        <v>#NUM!</v>
      </c>
      <c r="DC61" t="e">
        <f t="shared" si="11"/>
        <v>#NUM!</v>
      </c>
      <c r="DD61" t="e">
        <f t="shared" si="11"/>
        <v>#NUM!</v>
      </c>
      <c r="DE61" t="e">
        <f t="shared" si="11"/>
        <v>#NUM!</v>
      </c>
      <c r="DF61" t="e">
        <f t="shared" si="11"/>
        <v>#NUM!</v>
      </c>
      <c r="DG61" t="e">
        <f t="shared" si="11"/>
        <v>#NUM!</v>
      </c>
      <c r="DH61" t="e">
        <f t="shared" si="11"/>
        <v>#NUM!</v>
      </c>
      <c r="DI61" t="e">
        <f t="shared" si="11"/>
        <v>#NUM!</v>
      </c>
      <c r="DJ61" t="e">
        <f t="shared" si="11"/>
        <v>#NUM!</v>
      </c>
      <c r="DK61" t="e">
        <f t="shared" si="11"/>
        <v>#NUM!</v>
      </c>
      <c r="DL61" t="e">
        <f t="shared" si="11"/>
        <v>#NUM!</v>
      </c>
      <c r="DM61" t="e">
        <f t="shared" si="11"/>
        <v>#NUM!</v>
      </c>
      <c r="DN61" t="e">
        <f t="shared" si="11"/>
        <v>#NUM!</v>
      </c>
      <c r="DO61" t="e">
        <f t="shared" si="11"/>
        <v>#NUM!</v>
      </c>
      <c r="DP61" t="e">
        <f t="shared" si="11"/>
        <v>#NUM!</v>
      </c>
      <c r="DQ61" t="s">
        <v>24</v>
      </c>
    </row>
    <row r="62" spans="13:121" x14ac:dyDescent="0.25">
      <c r="T62" t="s">
        <v>25</v>
      </c>
      <c r="U62">
        <f t="shared" si="12"/>
        <v>0</v>
      </c>
      <c r="V62" t="e">
        <f t="shared" si="13"/>
        <v>#NUM!</v>
      </c>
      <c r="W62" t="e">
        <f t="shared" si="13"/>
        <v>#NUM!</v>
      </c>
      <c r="X62" t="e">
        <f t="shared" si="10"/>
        <v>#NUM!</v>
      </c>
      <c r="Y62" t="e">
        <f t="shared" si="10"/>
        <v>#NUM!</v>
      </c>
      <c r="Z62" t="e">
        <f t="shared" si="10"/>
        <v>#NUM!</v>
      </c>
      <c r="AA62" t="e">
        <f t="shared" si="10"/>
        <v>#NUM!</v>
      </c>
      <c r="AB62" t="e">
        <f t="shared" si="10"/>
        <v>#NUM!</v>
      </c>
      <c r="AC62" t="e">
        <f t="shared" si="10"/>
        <v>#NUM!</v>
      </c>
      <c r="AD62" t="e">
        <f t="shared" si="10"/>
        <v>#NUM!</v>
      </c>
      <c r="AE62" t="e">
        <f t="shared" si="10"/>
        <v>#NUM!</v>
      </c>
      <c r="AF62" t="e">
        <f t="shared" si="10"/>
        <v>#NUM!</v>
      </c>
      <c r="AG62" t="e">
        <f t="shared" si="10"/>
        <v>#NUM!</v>
      </c>
      <c r="AH62" t="e">
        <f t="shared" si="10"/>
        <v>#NUM!</v>
      </c>
      <c r="AI62" t="e">
        <f t="shared" si="10"/>
        <v>#NUM!</v>
      </c>
      <c r="AJ62" t="e">
        <f t="shared" si="10"/>
        <v>#NUM!</v>
      </c>
      <c r="AK62" t="e">
        <f t="shared" si="10"/>
        <v>#NUM!</v>
      </c>
      <c r="AL62" t="e">
        <f t="shared" si="10"/>
        <v>#NUM!</v>
      </c>
      <c r="AM62" t="e">
        <f t="shared" si="10"/>
        <v>#NUM!</v>
      </c>
      <c r="AN62" t="e">
        <f t="shared" si="10"/>
        <v>#NUM!</v>
      </c>
      <c r="AO62" t="e">
        <f t="shared" si="10"/>
        <v>#NUM!</v>
      </c>
      <c r="AP62" t="e">
        <f t="shared" si="10"/>
        <v>#NUM!</v>
      </c>
      <c r="AQ62" t="e">
        <f t="shared" si="10"/>
        <v>#NUM!</v>
      </c>
      <c r="AR62" t="e">
        <f t="shared" si="10"/>
        <v>#NUM!</v>
      </c>
      <c r="AS62" t="e">
        <f t="shared" si="10"/>
        <v>#NUM!</v>
      </c>
      <c r="AT62" t="e">
        <f t="shared" si="10"/>
        <v>#NUM!</v>
      </c>
      <c r="AU62" t="e">
        <f t="shared" si="10"/>
        <v>#NUM!</v>
      </c>
      <c r="AV62" t="e">
        <f t="shared" si="10"/>
        <v>#NUM!</v>
      </c>
      <c r="AW62" t="e">
        <f t="shared" si="10"/>
        <v>#NUM!</v>
      </c>
      <c r="AX62" t="e">
        <f t="shared" si="10"/>
        <v>#NUM!</v>
      </c>
      <c r="AY62" t="e">
        <f t="shared" si="10"/>
        <v>#NUM!</v>
      </c>
      <c r="AZ62" t="e">
        <f t="shared" si="10"/>
        <v>#NUM!</v>
      </c>
      <c r="BA62" t="e">
        <f t="shared" si="10"/>
        <v>#NUM!</v>
      </c>
      <c r="BB62" t="e">
        <f t="shared" si="10"/>
        <v>#NUM!</v>
      </c>
      <c r="BC62" t="e">
        <f t="shared" si="10"/>
        <v>#NUM!</v>
      </c>
      <c r="BD62" t="e">
        <f t="shared" si="10"/>
        <v>#NUM!</v>
      </c>
      <c r="BE62" t="e">
        <f t="shared" si="10"/>
        <v>#NUM!</v>
      </c>
      <c r="BF62" t="e">
        <f t="shared" si="10"/>
        <v>#NUM!</v>
      </c>
      <c r="BG62" t="e">
        <f t="shared" si="10"/>
        <v>#NUM!</v>
      </c>
      <c r="BH62" t="e">
        <f t="shared" si="10"/>
        <v>#NUM!</v>
      </c>
      <c r="BI62" t="e">
        <f t="shared" si="10"/>
        <v>#NUM!</v>
      </c>
      <c r="BJ62" t="e">
        <f t="shared" si="10"/>
        <v>#NUM!</v>
      </c>
      <c r="BK62" t="e">
        <f t="shared" si="10"/>
        <v>#NUM!</v>
      </c>
      <c r="BL62" t="e">
        <f t="shared" si="10"/>
        <v>#NUM!</v>
      </c>
      <c r="BM62" t="e">
        <f t="shared" si="10"/>
        <v>#NUM!</v>
      </c>
      <c r="BN62" t="e">
        <f t="shared" si="10"/>
        <v>#NUM!</v>
      </c>
      <c r="BO62" t="e">
        <f t="shared" si="10"/>
        <v>#NUM!</v>
      </c>
      <c r="BP62" t="e">
        <f t="shared" si="10"/>
        <v>#NUM!</v>
      </c>
      <c r="BQ62" t="e">
        <f t="shared" si="10"/>
        <v>#NUM!</v>
      </c>
      <c r="BR62" t="e">
        <f t="shared" si="10"/>
        <v>#NUM!</v>
      </c>
      <c r="BS62" t="e">
        <f t="shared" si="10"/>
        <v>#NUM!</v>
      </c>
      <c r="BT62" t="e">
        <f t="shared" si="10"/>
        <v>#NUM!</v>
      </c>
      <c r="BU62" t="e">
        <f t="shared" si="10"/>
        <v>#NUM!</v>
      </c>
      <c r="BV62" t="e">
        <f t="shared" si="10"/>
        <v>#NUM!</v>
      </c>
      <c r="BW62" t="e">
        <f t="shared" si="10"/>
        <v>#NUM!</v>
      </c>
      <c r="BX62" t="e">
        <f t="shared" si="10"/>
        <v>#NUM!</v>
      </c>
      <c r="BY62" t="e">
        <f t="shared" si="10"/>
        <v>#NUM!</v>
      </c>
      <c r="BZ62" t="e">
        <f t="shared" si="10"/>
        <v>#NUM!</v>
      </c>
      <c r="CA62" t="e">
        <f t="shared" si="10"/>
        <v>#NUM!</v>
      </c>
      <c r="CB62" t="e">
        <f t="shared" si="10"/>
        <v>#NUM!</v>
      </c>
      <c r="CC62" t="e">
        <f t="shared" si="10"/>
        <v>#NUM!</v>
      </c>
      <c r="CD62" t="e">
        <f t="shared" si="10"/>
        <v>#NUM!</v>
      </c>
      <c r="CE62" t="e">
        <f t="shared" si="10"/>
        <v>#NUM!</v>
      </c>
      <c r="CF62" t="e">
        <f t="shared" si="10"/>
        <v>#NUM!</v>
      </c>
      <c r="CG62" t="e">
        <f t="shared" si="10"/>
        <v>#NUM!</v>
      </c>
      <c r="CH62" t="e">
        <f t="shared" si="10"/>
        <v>#NUM!</v>
      </c>
      <c r="CI62" t="e">
        <f t="shared" ref="CI62:CM62" si="14">IF(CH$71=$T62,CH62-1,CH62)</f>
        <v>#NUM!</v>
      </c>
      <c r="CJ62" t="e">
        <f t="shared" si="14"/>
        <v>#NUM!</v>
      </c>
      <c r="CK62" t="e">
        <f t="shared" si="14"/>
        <v>#NUM!</v>
      </c>
      <c r="CL62" t="e">
        <f t="shared" si="14"/>
        <v>#NUM!</v>
      </c>
      <c r="CM62" t="e">
        <f t="shared" si="14"/>
        <v>#NUM!</v>
      </c>
      <c r="CN62" t="e">
        <f t="shared" si="11"/>
        <v>#NUM!</v>
      </c>
      <c r="CO62" t="e">
        <f t="shared" si="11"/>
        <v>#NUM!</v>
      </c>
      <c r="CP62" t="e">
        <f t="shared" si="11"/>
        <v>#NUM!</v>
      </c>
      <c r="CQ62" t="e">
        <f t="shared" si="11"/>
        <v>#NUM!</v>
      </c>
      <c r="CR62" t="e">
        <f t="shared" si="11"/>
        <v>#NUM!</v>
      </c>
      <c r="CS62" t="e">
        <f t="shared" si="11"/>
        <v>#NUM!</v>
      </c>
      <c r="CT62" t="e">
        <f t="shared" si="11"/>
        <v>#NUM!</v>
      </c>
      <c r="CU62" t="e">
        <f t="shared" si="11"/>
        <v>#NUM!</v>
      </c>
      <c r="CV62" t="e">
        <f t="shared" si="11"/>
        <v>#NUM!</v>
      </c>
      <c r="CW62" t="e">
        <f t="shared" si="11"/>
        <v>#NUM!</v>
      </c>
      <c r="CX62" t="e">
        <f t="shared" si="11"/>
        <v>#NUM!</v>
      </c>
      <c r="CY62" t="e">
        <f t="shared" si="11"/>
        <v>#NUM!</v>
      </c>
      <c r="CZ62" t="e">
        <f t="shared" si="11"/>
        <v>#NUM!</v>
      </c>
      <c r="DA62" t="e">
        <f t="shared" si="11"/>
        <v>#NUM!</v>
      </c>
      <c r="DB62" t="e">
        <f t="shared" si="11"/>
        <v>#NUM!</v>
      </c>
      <c r="DC62" t="e">
        <f t="shared" si="11"/>
        <v>#NUM!</v>
      </c>
      <c r="DD62" t="e">
        <f t="shared" si="11"/>
        <v>#NUM!</v>
      </c>
      <c r="DE62" t="e">
        <f t="shared" si="11"/>
        <v>#NUM!</v>
      </c>
      <c r="DF62" t="e">
        <f t="shared" si="11"/>
        <v>#NUM!</v>
      </c>
      <c r="DG62" t="e">
        <f t="shared" si="11"/>
        <v>#NUM!</v>
      </c>
      <c r="DH62" t="e">
        <f t="shared" si="11"/>
        <v>#NUM!</v>
      </c>
      <c r="DI62" t="e">
        <f t="shared" si="11"/>
        <v>#NUM!</v>
      </c>
      <c r="DJ62" t="e">
        <f>IF(DI$71=$T62,DI62-1,DI62)</f>
        <v>#NUM!</v>
      </c>
      <c r="DK62" t="e">
        <f t="shared" si="11"/>
        <v>#NUM!</v>
      </c>
      <c r="DL62" t="e">
        <f t="shared" si="11"/>
        <v>#NUM!</v>
      </c>
      <c r="DM62" t="e">
        <f t="shared" si="11"/>
        <v>#NUM!</v>
      </c>
      <c r="DN62" t="e">
        <f t="shared" si="11"/>
        <v>#NUM!</v>
      </c>
      <c r="DO62" t="e">
        <f t="shared" si="11"/>
        <v>#NUM!</v>
      </c>
      <c r="DP62" t="e">
        <f t="shared" si="11"/>
        <v>#NUM!</v>
      </c>
      <c r="DQ62" t="s">
        <v>25</v>
      </c>
    </row>
    <row r="63" spans="13:121" x14ac:dyDescent="0.25">
      <c r="T63" t="s">
        <v>26</v>
      </c>
      <c r="U63">
        <f t="shared" si="12"/>
        <v>0</v>
      </c>
      <c r="V63" t="e">
        <f t="shared" si="13"/>
        <v>#NUM!</v>
      </c>
      <c r="W63" t="e">
        <f t="shared" si="13"/>
        <v>#NUM!</v>
      </c>
      <c r="X63" t="e">
        <f t="shared" si="13"/>
        <v>#NUM!</v>
      </c>
      <c r="Y63" t="e">
        <f t="shared" si="13"/>
        <v>#NUM!</v>
      </c>
      <c r="Z63" t="e">
        <f t="shared" si="13"/>
        <v>#NUM!</v>
      </c>
      <c r="AA63" t="e">
        <f t="shared" si="13"/>
        <v>#NUM!</v>
      </c>
      <c r="AB63" t="e">
        <f t="shared" si="13"/>
        <v>#NUM!</v>
      </c>
      <c r="AC63" t="e">
        <f t="shared" si="13"/>
        <v>#NUM!</v>
      </c>
      <c r="AD63" t="e">
        <f t="shared" si="13"/>
        <v>#NUM!</v>
      </c>
      <c r="AE63" t="e">
        <f t="shared" si="13"/>
        <v>#NUM!</v>
      </c>
      <c r="AF63" t="e">
        <f t="shared" si="13"/>
        <v>#NUM!</v>
      </c>
      <c r="AG63" t="e">
        <f t="shared" si="13"/>
        <v>#NUM!</v>
      </c>
      <c r="AH63" t="e">
        <f t="shared" si="13"/>
        <v>#NUM!</v>
      </c>
      <c r="AI63" t="e">
        <f t="shared" si="13"/>
        <v>#NUM!</v>
      </c>
      <c r="AJ63" t="e">
        <f t="shared" si="13"/>
        <v>#NUM!</v>
      </c>
      <c r="AK63" t="e">
        <f t="shared" si="13"/>
        <v>#NUM!</v>
      </c>
      <c r="AL63" t="e">
        <f t="shared" ref="AL63:CM64" si="15">IF(AK$71=$T63,AK63-1,AK63)</f>
        <v>#NUM!</v>
      </c>
      <c r="AM63" t="e">
        <f t="shared" si="15"/>
        <v>#NUM!</v>
      </c>
      <c r="AN63" t="e">
        <f t="shared" si="15"/>
        <v>#NUM!</v>
      </c>
      <c r="AO63" t="e">
        <f t="shared" si="15"/>
        <v>#NUM!</v>
      </c>
      <c r="AP63" t="e">
        <f t="shared" si="15"/>
        <v>#NUM!</v>
      </c>
      <c r="AQ63" t="e">
        <f t="shared" si="15"/>
        <v>#NUM!</v>
      </c>
      <c r="AR63" t="e">
        <f t="shared" si="15"/>
        <v>#NUM!</v>
      </c>
      <c r="AS63" t="e">
        <f t="shared" si="15"/>
        <v>#NUM!</v>
      </c>
      <c r="AT63" t="e">
        <f t="shared" si="15"/>
        <v>#NUM!</v>
      </c>
      <c r="AU63" t="e">
        <f t="shared" si="15"/>
        <v>#NUM!</v>
      </c>
      <c r="AV63" t="e">
        <f t="shared" si="15"/>
        <v>#NUM!</v>
      </c>
      <c r="AW63" t="e">
        <f t="shared" si="15"/>
        <v>#NUM!</v>
      </c>
      <c r="AX63" t="e">
        <f t="shared" si="15"/>
        <v>#NUM!</v>
      </c>
      <c r="AY63" t="e">
        <f t="shared" si="15"/>
        <v>#NUM!</v>
      </c>
      <c r="AZ63" t="e">
        <f t="shared" si="15"/>
        <v>#NUM!</v>
      </c>
      <c r="BA63" t="e">
        <f t="shared" si="15"/>
        <v>#NUM!</v>
      </c>
      <c r="BB63" t="e">
        <f t="shared" si="15"/>
        <v>#NUM!</v>
      </c>
      <c r="BC63" t="e">
        <f t="shared" si="15"/>
        <v>#NUM!</v>
      </c>
      <c r="BD63" t="e">
        <f t="shared" si="15"/>
        <v>#NUM!</v>
      </c>
      <c r="BE63" t="e">
        <f t="shared" si="15"/>
        <v>#NUM!</v>
      </c>
      <c r="BF63" t="e">
        <f t="shared" si="15"/>
        <v>#NUM!</v>
      </c>
      <c r="BG63" t="e">
        <f t="shared" si="15"/>
        <v>#NUM!</v>
      </c>
      <c r="BH63" t="e">
        <f t="shared" si="15"/>
        <v>#NUM!</v>
      </c>
      <c r="BI63" t="e">
        <f t="shared" si="15"/>
        <v>#NUM!</v>
      </c>
      <c r="BJ63" t="e">
        <f t="shared" si="15"/>
        <v>#NUM!</v>
      </c>
      <c r="BK63" t="e">
        <f t="shared" si="15"/>
        <v>#NUM!</v>
      </c>
      <c r="BL63" t="e">
        <f t="shared" si="15"/>
        <v>#NUM!</v>
      </c>
      <c r="BM63" t="e">
        <f t="shared" si="15"/>
        <v>#NUM!</v>
      </c>
      <c r="BN63" t="e">
        <f t="shared" si="15"/>
        <v>#NUM!</v>
      </c>
      <c r="BO63" t="e">
        <f t="shared" si="15"/>
        <v>#NUM!</v>
      </c>
      <c r="BP63" t="e">
        <f t="shared" si="15"/>
        <v>#NUM!</v>
      </c>
      <c r="BQ63" t="e">
        <f t="shared" si="15"/>
        <v>#NUM!</v>
      </c>
      <c r="BR63" t="e">
        <f t="shared" si="15"/>
        <v>#NUM!</v>
      </c>
      <c r="BS63" t="e">
        <f t="shared" si="15"/>
        <v>#NUM!</v>
      </c>
      <c r="BT63" t="e">
        <f t="shared" si="15"/>
        <v>#NUM!</v>
      </c>
      <c r="BU63" t="e">
        <f t="shared" si="15"/>
        <v>#NUM!</v>
      </c>
      <c r="BV63" t="e">
        <f t="shared" si="15"/>
        <v>#NUM!</v>
      </c>
      <c r="BW63" t="e">
        <f t="shared" si="15"/>
        <v>#NUM!</v>
      </c>
      <c r="BX63" t="e">
        <f t="shared" si="15"/>
        <v>#NUM!</v>
      </c>
      <c r="BY63" t="e">
        <f t="shared" si="15"/>
        <v>#NUM!</v>
      </c>
      <c r="BZ63" t="e">
        <f t="shared" si="15"/>
        <v>#NUM!</v>
      </c>
      <c r="CA63" t="e">
        <f t="shared" si="15"/>
        <v>#NUM!</v>
      </c>
      <c r="CB63" t="e">
        <f t="shared" si="15"/>
        <v>#NUM!</v>
      </c>
      <c r="CC63" t="e">
        <f t="shared" si="15"/>
        <v>#NUM!</v>
      </c>
      <c r="CD63" t="e">
        <f t="shared" si="15"/>
        <v>#NUM!</v>
      </c>
      <c r="CE63" t="e">
        <f t="shared" si="15"/>
        <v>#NUM!</v>
      </c>
      <c r="CF63" t="e">
        <f t="shared" si="15"/>
        <v>#NUM!</v>
      </c>
      <c r="CG63" t="e">
        <f t="shared" si="15"/>
        <v>#NUM!</v>
      </c>
      <c r="CH63" t="e">
        <f t="shared" si="15"/>
        <v>#NUM!</v>
      </c>
      <c r="CI63" t="e">
        <f t="shared" si="15"/>
        <v>#NUM!</v>
      </c>
      <c r="CJ63" t="e">
        <f t="shared" si="15"/>
        <v>#NUM!</v>
      </c>
      <c r="CK63" t="e">
        <f t="shared" si="15"/>
        <v>#NUM!</v>
      </c>
      <c r="CL63" t="e">
        <f t="shared" si="15"/>
        <v>#NUM!</v>
      </c>
      <c r="CM63" t="e">
        <f t="shared" si="15"/>
        <v>#NUM!</v>
      </c>
      <c r="CN63" t="e">
        <f t="shared" si="11"/>
        <v>#NUM!</v>
      </c>
      <c r="CO63" t="e">
        <f t="shared" si="11"/>
        <v>#NUM!</v>
      </c>
      <c r="CP63" t="e">
        <f t="shared" si="11"/>
        <v>#NUM!</v>
      </c>
      <c r="CQ63" t="e">
        <f t="shared" si="11"/>
        <v>#NUM!</v>
      </c>
      <c r="CR63" t="e">
        <f t="shared" si="11"/>
        <v>#NUM!</v>
      </c>
      <c r="CS63" t="e">
        <f t="shared" si="11"/>
        <v>#NUM!</v>
      </c>
      <c r="CT63" t="e">
        <f t="shared" si="11"/>
        <v>#NUM!</v>
      </c>
      <c r="CU63" t="e">
        <f t="shared" si="11"/>
        <v>#NUM!</v>
      </c>
      <c r="CV63" t="e">
        <f t="shared" si="11"/>
        <v>#NUM!</v>
      </c>
      <c r="CW63" t="e">
        <f t="shared" si="11"/>
        <v>#NUM!</v>
      </c>
      <c r="CX63" t="e">
        <f t="shared" si="11"/>
        <v>#NUM!</v>
      </c>
      <c r="CY63" t="e">
        <f t="shared" si="11"/>
        <v>#NUM!</v>
      </c>
      <c r="CZ63" t="e">
        <f t="shared" si="11"/>
        <v>#NUM!</v>
      </c>
      <c r="DA63" t="e">
        <f t="shared" si="11"/>
        <v>#NUM!</v>
      </c>
      <c r="DB63" t="e">
        <f t="shared" si="11"/>
        <v>#NUM!</v>
      </c>
      <c r="DC63" t="e">
        <f t="shared" si="11"/>
        <v>#NUM!</v>
      </c>
      <c r="DD63" t="e">
        <f t="shared" si="11"/>
        <v>#NUM!</v>
      </c>
      <c r="DE63" t="e">
        <f t="shared" si="11"/>
        <v>#NUM!</v>
      </c>
      <c r="DF63" t="e">
        <f t="shared" si="11"/>
        <v>#NUM!</v>
      </c>
      <c r="DG63" t="e">
        <f t="shared" si="11"/>
        <v>#NUM!</v>
      </c>
      <c r="DH63" t="e">
        <f t="shared" si="11"/>
        <v>#NUM!</v>
      </c>
      <c r="DI63" t="e">
        <f t="shared" si="11"/>
        <v>#NUM!</v>
      </c>
      <c r="DJ63" t="e">
        <f t="shared" si="11"/>
        <v>#NUM!</v>
      </c>
      <c r="DK63" t="e">
        <f t="shared" si="11"/>
        <v>#NUM!</v>
      </c>
      <c r="DL63" t="e">
        <f t="shared" si="11"/>
        <v>#NUM!</v>
      </c>
      <c r="DM63" t="e">
        <f t="shared" si="11"/>
        <v>#NUM!</v>
      </c>
      <c r="DN63" t="e">
        <f t="shared" si="11"/>
        <v>#NUM!</v>
      </c>
      <c r="DO63" t="e">
        <f t="shared" si="11"/>
        <v>#NUM!</v>
      </c>
      <c r="DP63" t="e">
        <f t="shared" si="11"/>
        <v>#NUM!</v>
      </c>
      <c r="DQ63" t="s">
        <v>26</v>
      </c>
    </row>
    <row r="64" spans="13:121" x14ac:dyDescent="0.25">
      <c r="T64" t="s">
        <v>27</v>
      </c>
      <c r="U64">
        <f t="shared" si="12"/>
        <v>0</v>
      </c>
      <c r="V64" t="e">
        <f t="shared" si="13"/>
        <v>#NUM!</v>
      </c>
      <c r="W64" t="e">
        <f t="shared" si="13"/>
        <v>#NUM!</v>
      </c>
      <c r="X64" t="e">
        <f t="shared" si="13"/>
        <v>#NUM!</v>
      </c>
      <c r="Y64" t="e">
        <f t="shared" si="13"/>
        <v>#NUM!</v>
      </c>
      <c r="Z64" t="e">
        <f t="shared" si="13"/>
        <v>#NUM!</v>
      </c>
      <c r="AA64" t="e">
        <f t="shared" si="13"/>
        <v>#NUM!</v>
      </c>
      <c r="AB64" t="e">
        <f t="shared" si="13"/>
        <v>#NUM!</v>
      </c>
      <c r="AC64" t="e">
        <f t="shared" si="13"/>
        <v>#NUM!</v>
      </c>
      <c r="AD64" t="e">
        <f t="shared" si="13"/>
        <v>#NUM!</v>
      </c>
      <c r="AE64" t="e">
        <f t="shared" si="13"/>
        <v>#NUM!</v>
      </c>
      <c r="AF64" t="e">
        <f t="shared" si="13"/>
        <v>#NUM!</v>
      </c>
      <c r="AG64" t="e">
        <f t="shared" si="13"/>
        <v>#NUM!</v>
      </c>
      <c r="AH64" t="e">
        <f t="shared" si="13"/>
        <v>#NUM!</v>
      </c>
      <c r="AI64" t="e">
        <f t="shared" si="13"/>
        <v>#NUM!</v>
      </c>
      <c r="AJ64" t="e">
        <f t="shared" si="13"/>
        <v>#NUM!</v>
      </c>
      <c r="AK64" t="e">
        <f t="shared" si="13"/>
        <v>#NUM!</v>
      </c>
      <c r="AL64" t="e">
        <f t="shared" si="15"/>
        <v>#NUM!</v>
      </c>
      <c r="AM64" t="e">
        <f t="shared" si="15"/>
        <v>#NUM!</v>
      </c>
      <c r="AN64" t="e">
        <f t="shared" si="15"/>
        <v>#NUM!</v>
      </c>
      <c r="AO64" t="e">
        <f t="shared" si="15"/>
        <v>#NUM!</v>
      </c>
      <c r="AP64" t="e">
        <f t="shared" si="15"/>
        <v>#NUM!</v>
      </c>
      <c r="AQ64" t="e">
        <f t="shared" si="15"/>
        <v>#NUM!</v>
      </c>
      <c r="AR64" t="e">
        <f t="shared" si="15"/>
        <v>#NUM!</v>
      </c>
      <c r="AS64" t="e">
        <f t="shared" si="15"/>
        <v>#NUM!</v>
      </c>
      <c r="AT64" t="e">
        <f t="shared" si="15"/>
        <v>#NUM!</v>
      </c>
      <c r="AU64" t="e">
        <f t="shared" si="15"/>
        <v>#NUM!</v>
      </c>
      <c r="AV64" t="e">
        <f t="shared" si="15"/>
        <v>#NUM!</v>
      </c>
      <c r="AW64" t="e">
        <f t="shared" si="15"/>
        <v>#NUM!</v>
      </c>
      <c r="AX64" t="e">
        <f t="shared" si="15"/>
        <v>#NUM!</v>
      </c>
      <c r="AY64" t="e">
        <f t="shared" si="15"/>
        <v>#NUM!</v>
      </c>
      <c r="AZ64" t="e">
        <f t="shared" si="15"/>
        <v>#NUM!</v>
      </c>
      <c r="BA64" t="e">
        <f t="shared" si="15"/>
        <v>#NUM!</v>
      </c>
      <c r="BB64" t="e">
        <f t="shared" si="15"/>
        <v>#NUM!</v>
      </c>
      <c r="BC64" t="e">
        <f t="shared" si="15"/>
        <v>#NUM!</v>
      </c>
      <c r="BD64" t="e">
        <f t="shared" si="15"/>
        <v>#NUM!</v>
      </c>
      <c r="BE64" t="e">
        <f t="shared" si="15"/>
        <v>#NUM!</v>
      </c>
      <c r="BF64" t="e">
        <f t="shared" si="15"/>
        <v>#NUM!</v>
      </c>
      <c r="BG64" t="e">
        <f t="shared" si="15"/>
        <v>#NUM!</v>
      </c>
      <c r="BH64" t="e">
        <f t="shared" si="15"/>
        <v>#NUM!</v>
      </c>
      <c r="BI64" t="e">
        <f t="shared" si="15"/>
        <v>#NUM!</v>
      </c>
      <c r="BJ64" t="e">
        <f t="shared" si="15"/>
        <v>#NUM!</v>
      </c>
      <c r="BK64" t="e">
        <f t="shared" si="15"/>
        <v>#NUM!</v>
      </c>
      <c r="BL64" t="e">
        <f t="shared" si="15"/>
        <v>#NUM!</v>
      </c>
      <c r="BM64" t="e">
        <f t="shared" si="15"/>
        <v>#NUM!</v>
      </c>
      <c r="BN64" t="e">
        <f t="shared" si="15"/>
        <v>#NUM!</v>
      </c>
      <c r="BO64" t="e">
        <f t="shared" si="15"/>
        <v>#NUM!</v>
      </c>
      <c r="BP64" t="e">
        <f t="shared" si="15"/>
        <v>#NUM!</v>
      </c>
      <c r="BQ64" t="e">
        <f t="shared" si="15"/>
        <v>#NUM!</v>
      </c>
      <c r="BR64" t="e">
        <f t="shared" si="15"/>
        <v>#NUM!</v>
      </c>
      <c r="BS64" t="e">
        <f t="shared" si="15"/>
        <v>#NUM!</v>
      </c>
      <c r="BT64" t="e">
        <f t="shared" si="15"/>
        <v>#NUM!</v>
      </c>
      <c r="BU64" t="e">
        <f t="shared" si="15"/>
        <v>#NUM!</v>
      </c>
      <c r="BV64" t="e">
        <f t="shared" si="15"/>
        <v>#NUM!</v>
      </c>
      <c r="BW64" t="e">
        <f t="shared" si="15"/>
        <v>#NUM!</v>
      </c>
      <c r="BX64" t="e">
        <f t="shared" si="15"/>
        <v>#NUM!</v>
      </c>
      <c r="BY64" t="e">
        <f t="shared" si="15"/>
        <v>#NUM!</v>
      </c>
      <c r="BZ64" t="e">
        <f t="shared" si="15"/>
        <v>#NUM!</v>
      </c>
      <c r="CA64" t="e">
        <f t="shared" si="15"/>
        <v>#NUM!</v>
      </c>
      <c r="CB64" t="e">
        <f t="shared" si="15"/>
        <v>#NUM!</v>
      </c>
      <c r="CC64" t="e">
        <f t="shared" si="15"/>
        <v>#NUM!</v>
      </c>
      <c r="CD64" t="e">
        <f t="shared" si="15"/>
        <v>#NUM!</v>
      </c>
      <c r="CE64" t="e">
        <f t="shared" si="15"/>
        <v>#NUM!</v>
      </c>
      <c r="CF64" t="e">
        <f t="shared" si="15"/>
        <v>#NUM!</v>
      </c>
      <c r="CG64" t="e">
        <f t="shared" si="15"/>
        <v>#NUM!</v>
      </c>
      <c r="CH64" t="e">
        <f t="shared" si="15"/>
        <v>#NUM!</v>
      </c>
      <c r="CI64" t="e">
        <f t="shared" si="15"/>
        <v>#NUM!</v>
      </c>
      <c r="CJ64" t="e">
        <f t="shared" si="15"/>
        <v>#NUM!</v>
      </c>
      <c r="CK64" t="e">
        <f t="shared" si="15"/>
        <v>#NUM!</v>
      </c>
      <c r="CL64" t="e">
        <f t="shared" si="15"/>
        <v>#NUM!</v>
      </c>
      <c r="CM64" t="e">
        <f t="shared" si="15"/>
        <v>#NUM!</v>
      </c>
      <c r="CN64" t="e">
        <f t="shared" si="11"/>
        <v>#NUM!</v>
      </c>
      <c r="CO64" t="e">
        <f t="shared" si="11"/>
        <v>#NUM!</v>
      </c>
      <c r="CP64" t="e">
        <f t="shared" si="11"/>
        <v>#NUM!</v>
      </c>
      <c r="CQ64" t="e">
        <f t="shared" si="11"/>
        <v>#NUM!</v>
      </c>
      <c r="CR64" t="e">
        <f t="shared" si="11"/>
        <v>#NUM!</v>
      </c>
      <c r="CS64" t="e">
        <f t="shared" si="11"/>
        <v>#NUM!</v>
      </c>
      <c r="CT64" t="e">
        <f t="shared" si="11"/>
        <v>#NUM!</v>
      </c>
      <c r="CU64" t="e">
        <f t="shared" si="11"/>
        <v>#NUM!</v>
      </c>
      <c r="CV64" t="e">
        <f t="shared" si="11"/>
        <v>#NUM!</v>
      </c>
      <c r="CW64" t="e">
        <f t="shared" si="11"/>
        <v>#NUM!</v>
      </c>
      <c r="CX64" t="e">
        <f t="shared" si="11"/>
        <v>#NUM!</v>
      </c>
      <c r="CY64" t="e">
        <f t="shared" si="11"/>
        <v>#NUM!</v>
      </c>
      <c r="CZ64" t="e">
        <f t="shared" si="11"/>
        <v>#NUM!</v>
      </c>
      <c r="DA64" t="e">
        <f t="shared" si="11"/>
        <v>#NUM!</v>
      </c>
      <c r="DB64" t="e">
        <f t="shared" si="11"/>
        <v>#NUM!</v>
      </c>
      <c r="DC64" t="e">
        <f t="shared" si="11"/>
        <v>#NUM!</v>
      </c>
      <c r="DD64" t="e">
        <f t="shared" si="11"/>
        <v>#NUM!</v>
      </c>
      <c r="DE64" t="e">
        <f t="shared" si="11"/>
        <v>#NUM!</v>
      </c>
      <c r="DF64" t="e">
        <f t="shared" si="11"/>
        <v>#NUM!</v>
      </c>
      <c r="DG64" t="e">
        <f t="shared" si="11"/>
        <v>#NUM!</v>
      </c>
      <c r="DH64" t="e">
        <f t="shared" si="11"/>
        <v>#NUM!</v>
      </c>
      <c r="DI64" t="e">
        <f t="shared" si="11"/>
        <v>#NUM!</v>
      </c>
      <c r="DJ64" t="e">
        <f t="shared" si="11"/>
        <v>#NUM!</v>
      </c>
      <c r="DK64" t="e">
        <f t="shared" si="11"/>
        <v>#NUM!</v>
      </c>
      <c r="DL64" t="e">
        <f t="shared" si="11"/>
        <v>#NUM!</v>
      </c>
      <c r="DM64" t="e">
        <f t="shared" si="11"/>
        <v>#NUM!</v>
      </c>
      <c r="DN64" t="e">
        <f t="shared" si="11"/>
        <v>#NUM!</v>
      </c>
      <c r="DO64" t="e">
        <f t="shared" si="11"/>
        <v>#NUM!</v>
      </c>
      <c r="DP64" t="e">
        <f t="shared" si="11"/>
        <v>#NUM!</v>
      </c>
      <c r="DQ64" t="s">
        <v>27</v>
      </c>
    </row>
    <row r="66" spans="20:121" x14ac:dyDescent="0.25">
      <c r="T66" t="s">
        <v>15</v>
      </c>
      <c r="U66">
        <f>Q55</f>
        <v>0</v>
      </c>
      <c r="V66">
        <f>IF(U$73=$T66,U66-1,U66)</f>
        <v>-1</v>
      </c>
      <c r="W66">
        <f>IF(V$73=$T66,V66-1,V66)</f>
        <v>-1</v>
      </c>
      <c r="X66">
        <f t="shared" ref="X66:CI68" si="16">IF(W$73=$T66,W66-1,W66)</f>
        <v>-1</v>
      </c>
      <c r="Y66">
        <f t="shared" si="16"/>
        <v>-2</v>
      </c>
      <c r="Z66">
        <f t="shared" si="16"/>
        <v>-2</v>
      </c>
      <c r="AA66">
        <f t="shared" si="16"/>
        <v>-2</v>
      </c>
      <c r="AB66">
        <f t="shared" si="16"/>
        <v>-3</v>
      </c>
      <c r="AC66">
        <f t="shared" si="16"/>
        <v>-3</v>
      </c>
      <c r="AD66">
        <f t="shared" si="16"/>
        <v>-3</v>
      </c>
      <c r="AE66">
        <f t="shared" si="16"/>
        <v>-4</v>
      </c>
      <c r="AF66">
        <f t="shared" si="16"/>
        <v>-4</v>
      </c>
      <c r="AG66">
        <f t="shared" si="16"/>
        <v>-4</v>
      </c>
      <c r="AH66">
        <f t="shared" si="16"/>
        <v>-5</v>
      </c>
      <c r="AI66">
        <f t="shared" si="16"/>
        <v>-5</v>
      </c>
      <c r="AJ66">
        <f t="shared" si="16"/>
        <v>-5</v>
      </c>
      <c r="AK66">
        <f t="shared" si="16"/>
        <v>-6</v>
      </c>
      <c r="AL66">
        <f t="shared" si="16"/>
        <v>-6</v>
      </c>
      <c r="AM66">
        <f t="shared" si="16"/>
        <v>-6</v>
      </c>
      <c r="AN66">
        <f t="shared" si="16"/>
        <v>-7</v>
      </c>
      <c r="AO66">
        <f t="shared" si="16"/>
        <v>-7</v>
      </c>
      <c r="AP66">
        <f t="shared" si="16"/>
        <v>-7</v>
      </c>
      <c r="AQ66">
        <f t="shared" si="16"/>
        <v>-8</v>
      </c>
      <c r="AR66">
        <f t="shared" si="16"/>
        <v>-8</v>
      </c>
      <c r="AS66">
        <f t="shared" si="16"/>
        <v>-8</v>
      </c>
      <c r="AT66">
        <f t="shared" si="16"/>
        <v>-9</v>
      </c>
      <c r="AU66">
        <f t="shared" si="16"/>
        <v>-9</v>
      </c>
      <c r="AV66">
        <f t="shared" si="16"/>
        <v>-9</v>
      </c>
      <c r="AW66">
        <f t="shared" si="16"/>
        <v>-10</v>
      </c>
      <c r="AX66">
        <f t="shared" si="16"/>
        <v>-10</v>
      </c>
      <c r="AY66">
        <f t="shared" si="16"/>
        <v>-10</v>
      </c>
      <c r="AZ66">
        <f t="shared" si="16"/>
        <v>-11</v>
      </c>
      <c r="BA66">
        <f t="shared" si="16"/>
        <v>-11</v>
      </c>
      <c r="BB66">
        <f t="shared" si="16"/>
        <v>-11</v>
      </c>
      <c r="BC66">
        <f t="shared" si="16"/>
        <v>-12</v>
      </c>
      <c r="BD66">
        <f t="shared" si="16"/>
        <v>-12</v>
      </c>
      <c r="BE66">
        <f t="shared" si="16"/>
        <v>-12</v>
      </c>
      <c r="BF66">
        <f t="shared" si="16"/>
        <v>-13</v>
      </c>
      <c r="BG66">
        <f t="shared" si="16"/>
        <v>-13</v>
      </c>
      <c r="BH66">
        <f t="shared" si="16"/>
        <v>-13</v>
      </c>
      <c r="BI66">
        <f t="shared" si="16"/>
        <v>-14</v>
      </c>
      <c r="BJ66">
        <f t="shared" si="16"/>
        <v>-14</v>
      </c>
      <c r="BK66">
        <f t="shared" si="16"/>
        <v>-14</v>
      </c>
      <c r="BL66">
        <f t="shared" si="16"/>
        <v>-15</v>
      </c>
      <c r="BM66">
        <f t="shared" si="16"/>
        <v>-15</v>
      </c>
      <c r="BN66">
        <f t="shared" si="16"/>
        <v>-15</v>
      </c>
      <c r="BO66">
        <f t="shared" si="16"/>
        <v>-16</v>
      </c>
      <c r="BP66">
        <f t="shared" si="16"/>
        <v>-16</v>
      </c>
      <c r="BQ66">
        <f t="shared" si="16"/>
        <v>-16</v>
      </c>
      <c r="BR66">
        <f t="shared" si="16"/>
        <v>-17</v>
      </c>
      <c r="BS66">
        <f t="shared" si="16"/>
        <v>-17</v>
      </c>
      <c r="BT66">
        <f t="shared" si="16"/>
        <v>-17</v>
      </c>
      <c r="BU66">
        <f t="shared" si="16"/>
        <v>-18</v>
      </c>
      <c r="BV66">
        <f t="shared" si="16"/>
        <v>-18</v>
      </c>
      <c r="BW66">
        <f t="shared" si="16"/>
        <v>-18</v>
      </c>
      <c r="BX66">
        <f t="shared" si="16"/>
        <v>-19</v>
      </c>
      <c r="BY66">
        <f t="shared" si="16"/>
        <v>-19</v>
      </c>
      <c r="BZ66">
        <f t="shared" si="16"/>
        <v>-19</v>
      </c>
      <c r="CA66">
        <f t="shared" si="16"/>
        <v>-20</v>
      </c>
      <c r="CB66">
        <f t="shared" si="16"/>
        <v>-20</v>
      </c>
      <c r="CC66">
        <f t="shared" si="16"/>
        <v>-20</v>
      </c>
      <c r="CD66">
        <f t="shared" si="16"/>
        <v>-21</v>
      </c>
      <c r="CE66">
        <f t="shared" si="16"/>
        <v>-21</v>
      </c>
      <c r="CF66">
        <f t="shared" si="16"/>
        <v>-21</v>
      </c>
      <c r="CG66">
        <f t="shared" si="16"/>
        <v>-22</v>
      </c>
      <c r="CH66">
        <f t="shared" si="16"/>
        <v>-22</v>
      </c>
      <c r="CI66">
        <f t="shared" si="16"/>
        <v>-22</v>
      </c>
      <c r="CJ66">
        <f t="shared" ref="CJ66:DP68" si="17">IF(CI$73=$T66,CI66-1,CI66)</f>
        <v>-23</v>
      </c>
      <c r="CK66">
        <f t="shared" si="17"/>
        <v>-23</v>
      </c>
      <c r="CL66">
        <f t="shared" si="17"/>
        <v>-23</v>
      </c>
      <c r="CM66">
        <f t="shared" si="17"/>
        <v>-24</v>
      </c>
      <c r="CN66">
        <f t="shared" si="17"/>
        <v>-24</v>
      </c>
      <c r="CO66">
        <f t="shared" si="17"/>
        <v>-24</v>
      </c>
      <c r="CP66">
        <f t="shared" si="17"/>
        <v>-25</v>
      </c>
      <c r="CQ66">
        <f t="shared" si="17"/>
        <v>-25</v>
      </c>
      <c r="CR66">
        <f t="shared" si="17"/>
        <v>-25</v>
      </c>
      <c r="CS66">
        <f t="shared" si="17"/>
        <v>-26</v>
      </c>
      <c r="CT66">
        <f t="shared" si="17"/>
        <v>-26</v>
      </c>
      <c r="CU66">
        <f t="shared" si="17"/>
        <v>-26</v>
      </c>
      <c r="CV66">
        <f t="shared" si="17"/>
        <v>-27</v>
      </c>
      <c r="CW66">
        <f t="shared" si="17"/>
        <v>-27</v>
      </c>
      <c r="CX66">
        <f t="shared" si="17"/>
        <v>-27</v>
      </c>
      <c r="CY66">
        <f t="shared" si="17"/>
        <v>-28</v>
      </c>
      <c r="CZ66">
        <f t="shared" si="17"/>
        <v>-28</v>
      </c>
      <c r="DA66">
        <f t="shared" si="17"/>
        <v>-28</v>
      </c>
      <c r="DB66">
        <f t="shared" si="17"/>
        <v>-29</v>
      </c>
      <c r="DC66">
        <f t="shared" si="17"/>
        <v>-29</v>
      </c>
      <c r="DD66">
        <f t="shared" si="17"/>
        <v>-29</v>
      </c>
      <c r="DE66">
        <f t="shared" si="17"/>
        <v>-30</v>
      </c>
      <c r="DF66">
        <f t="shared" si="17"/>
        <v>-30</v>
      </c>
      <c r="DG66">
        <f t="shared" si="17"/>
        <v>-30</v>
      </c>
      <c r="DH66">
        <f t="shared" si="17"/>
        <v>-31</v>
      </c>
      <c r="DI66">
        <f t="shared" si="17"/>
        <v>-31</v>
      </c>
      <c r="DJ66">
        <f t="shared" si="17"/>
        <v>-31</v>
      </c>
      <c r="DK66">
        <f t="shared" si="17"/>
        <v>-32</v>
      </c>
      <c r="DL66">
        <f t="shared" si="17"/>
        <v>-32</v>
      </c>
      <c r="DM66">
        <f t="shared" si="17"/>
        <v>-32</v>
      </c>
      <c r="DN66">
        <f t="shared" si="17"/>
        <v>-33</v>
      </c>
      <c r="DO66">
        <f t="shared" si="17"/>
        <v>-33</v>
      </c>
      <c r="DP66">
        <f t="shared" si="17"/>
        <v>-33</v>
      </c>
      <c r="DQ66" t="s">
        <v>15</v>
      </c>
    </row>
    <row r="67" spans="20:121" x14ac:dyDescent="0.25">
      <c r="T67" t="s">
        <v>17</v>
      </c>
      <c r="U67">
        <f t="shared" ref="U67:U68" si="18">Q56</f>
        <v>0</v>
      </c>
      <c r="V67">
        <f t="shared" ref="V67:W68" si="19">IF(U$73=$T67,U67-1,U67)</f>
        <v>0</v>
      </c>
      <c r="W67">
        <f t="shared" si="19"/>
        <v>-1</v>
      </c>
      <c r="X67">
        <f t="shared" si="16"/>
        <v>-1</v>
      </c>
      <c r="Y67">
        <f t="shared" si="16"/>
        <v>-1</v>
      </c>
      <c r="Z67">
        <f t="shared" si="16"/>
        <v>-2</v>
      </c>
      <c r="AA67">
        <f t="shared" si="16"/>
        <v>-2</v>
      </c>
      <c r="AB67">
        <f t="shared" si="16"/>
        <v>-2</v>
      </c>
      <c r="AC67">
        <f t="shared" si="16"/>
        <v>-3</v>
      </c>
      <c r="AD67">
        <f t="shared" si="16"/>
        <v>-3</v>
      </c>
      <c r="AE67">
        <f t="shared" si="16"/>
        <v>-3</v>
      </c>
      <c r="AF67">
        <f t="shared" si="16"/>
        <v>-4</v>
      </c>
      <c r="AG67">
        <f t="shared" si="16"/>
        <v>-4</v>
      </c>
      <c r="AH67">
        <f t="shared" si="16"/>
        <v>-4</v>
      </c>
      <c r="AI67">
        <f t="shared" si="16"/>
        <v>-5</v>
      </c>
      <c r="AJ67">
        <f t="shared" si="16"/>
        <v>-5</v>
      </c>
      <c r="AK67">
        <f t="shared" si="16"/>
        <v>-5</v>
      </c>
      <c r="AL67">
        <f t="shared" si="16"/>
        <v>-6</v>
      </c>
      <c r="AM67">
        <f t="shared" si="16"/>
        <v>-6</v>
      </c>
      <c r="AN67">
        <f t="shared" si="16"/>
        <v>-6</v>
      </c>
      <c r="AO67">
        <f t="shared" si="16"/>
        <v>-7</v>
      </c>
      <c r="AP67">
        <f t="shared" si="16"/>
        <v>-7</v>
      </c>
      <c r="AQ67">
        <f t="shared" si="16"/>
        <v>-7</v>
      </c>
      <c r="AR67">
        <f t="shared" si="16"/>
        <v>-8</v>
      </c>
      <c r="AS67">
        <f t="shared" si="16"/>
        <v>-8</v>
      </c>
      <c r="AT67">
        <f t="shared" si="16"/>
        <v>-8</v>
      </c>
      <c r="AU67">
        <f t="shared" si="16"/>
        <v>-9</v>
      </c>
      <c r="AV67">
        <f t="shared" si="16"/>
        <v>-9</v>
      </c>
      <c r="AW67">
        <f t="shared" si="16"/>
        <v>-9</v>
      </c>
      <c r="AX67">
        <f t="shared" si="16"/>
        <v>-10</v>
      </c>
      <c r="AY67">
        <f t="shared" si="16"/>
        <v>-10</v>
      </c>
      <c r="AZ67">
        <f t="shared" si="16"/>
        <v>-10</v>
      </c>
      <c r="BA67">
        <f t="shared" si="16"/>
        <v>-11</v>
      </c>
      <c r="BB67">
        <f t="shared" si="16"/>
        <v>-11</v>
      </c>
      <c r="BC67">
        <f t="shared" si="16"/>
        <v>-11</v>
      </c>
      <c r="BD67">
        <f t="shared" si="16"/>
        <v>-12</v>
      </c>
      <c r="BE67">
        <f t="shared" si="16"/>
        <v>-12</v>
      </c>
      <c r="BF67">
        <f t="shared" si="16"/>
        <v>-12</v>
      </c>
      <c r="BG67">
        <f t="shared" si="16"/>
        <v>-13</v>
      </c>
      <c r="BH67">
        <f t="shared" si="16"/>
        <v>-13</v>
      </c>
      <c r="BI67">
        <f t="shared" si="16"/>
        <v>-13</v>
      </c>
      <c r="BJ67">
        <f t="shared" si="16"/>
        <v>-14</v>
      </c>
      <c r="BK67">
        <f t="shared" si="16"/>
        <v>-14</v>
      </c>
      <c r="BL67">
        <f t="shared" si="16"/>
        <v>-14</v>
      </c>
      <c r="BM67">
        <f t="shared" si="16"/>
        <v>-15</v>
      </c>
      <c r="BN67">
        <f t="shared" si="16"/>
        <v>-15</v>
      </c>
      <c r="BO67">
        <f t="shared" si="16"/>
        <v>-15</v>
      </c>
      <c r="BP67">
        <f t="shared" si="16"/>
        <v>-16</v>
      </c>
      <c r="BQ67">
        <f t="shared" si="16"/>
        <v>-16</v>
      </c>
      <c r="BR67">
        <f t="shared" si="16"/>
        <v>-16</v>
      </c>
      <c r="BS67">
        <f t="shared" si="16"/>
        <v>-17</v>
      </c>
      <c r="BT67">
        <f t="shared" si="16"/>
        <v>-17</v>
      </c>
      <c r="BU67">
        <f t="shared" si="16"/>
        <v>-17</v>
      </c>
      <c r="BV67">
        <f t="shared" si="16"/>
        <v>-18</v>
      </c>
      <c r="BW67">
        <f t="shared" si="16"/>
        <v>-18</v>
      </c>
      <c r="BX67">
        <f t="shared" si="16"/>
        <v>-18</v>
      </c>
      <c r="BY67">
        <f t="shared" si="16"/>
        <v>-19</v>
      </c>
      <c r="BZ67">
        <f t="shared" si="16"/>
        <v>-19</v>
      </c>
      <c r="CA67">
        <f t="shared" si="16"/>
        <v>-19</v>
      </c>
      <c r="CB67">
        <f t="shared" si="16"/>
        <v>-20</v>
      </c>
      <c r="CC67">
        <f t="shared" si="16"/>
        <v>-20</v>
      </c>
      <c r="CD67">
        <f t="shared" si="16"/>
        <v>-20</v>
      </c>
      <c r="CE67">
        <f t="shared" si="16"/>
        <v>-21</v>
      </c>
      <c r="CF67">
        <f t="shared" si="16"/>
        <v>-21</v>
      </c>
      <c r="CG67">
        <f t="shared" si="16"/>
        <v>-21</v>
      </c>
      <c r="CH67">
        <f t="shared" si="16"/>
        <v>-22</v>
      </c>
      <c r="CI67">
        <f t="shared" si="16"/>
        <v>-22</v>
      </c>
      <c r="CJ67">
        <f t="shared" si="17"/>
        <v>-22</v>
      </c>
      <c r="CK67">
        <f t="shared" si="17"/>
        <v>-23</v>
      </c>
      <c r="CL67">
        <f t="shared" si="17"/>
        <v>-23</v>
      </c>
      <c r="CM67">
        <f t="shared" si="17"/>
        <v>-23</v>
      </c>
      <c r="CN67">
        <f t="shared" si="17"/>
        <v>-24</v>
      </c>
      <c r="CO67">
        <f t="shared" si="17"/>
        <v>-24</v>
      </c>
      <c r="CP67">
        <f t="shared" si="17"/>
        <v>-24</v>
      </c>
      <c r="CQ67">
        <f t="shared" si="17"/>
        <v>-25</v>
      </c>
      <c r="CR67">
        <f t="shared" si="17"/>
        <v>-25</v>
      </c>
      <c r="CS67">
        <f t="shared" si="17"/>
        <v>-25</v>
      </c>
      <c r="CT67">
        <f t="shared" si="17"/>
        <v>-26</v>
      </c>
      <c r="CU67">
        <f t="shared" si="17"/>
        <v>-26</v>
      </c>
      <c r="CV67">
        <f t="shared" si="17"/>
        <v>-26</v>
      </c>
      <c r="CW67">
        <f t="shared" si="17"/>
        <v>-27</v>
      </c>
      <c r="CX67">
        <f t="shared" si="17"/>
        <v>-27</v>
      </c>
      <c r="CY67">
        <f t="shared" si="17"/>
        <v>-27</v>
      </c>
      <c r="CZ67">
        <f t="shared" si="17"/>
        <v>-28</v>
      </c>
      <c r="DA67">
        <f t="shared" si="17"/>
        <v>-28</v>
      </c>
      <c r="DB67">
        <f t="shared" si="17"/>
        <v>-28</v>
      </c>
      <c r="DC67">
        <f t="shared" si="17"/>
        <v>-29</v>
      </c>
      <c r="DD67">
        <f t="shared" si="17"/>
        <v>-29</v>
      </c>
      <c r="DE67">
        <f t="shared" si="17"/>
        <v>-29</v>
      </c>
      <c r="DF67">
        <f t="shared" si="17"/>
        <v>-30</v>
      </c>
      <c r="DG67">
        <f t="shared" si="17"/>
        <v>-30</v>
      </c>
      <c r="DH67">
        <f t="shared" si="17"/>
        <v>-30</v>
      </c>
      <c r="DI67">
        <f t="shared" si="17"/>
        <v>-31</v>
      </c>
      <c r="DJ67">
        <f t="shared" si="17"/>
        <v>-31</v>
      </c>
      <c r="DK67">
        <f t="shared" si="17"/>
        <v>-31</v>
      </c>
      <c r="DL67">
        <f t="shared" si="17"/>
        <v>-32</v>
      </c>
      <c r="DM67">
        <f t="shared" si="17"/>
        <v>-32</v>
      </c>
      <c r="DN67">
        <f t="shared" si="17"/>
        <v>-32</v>
      </c>
      <c r="DO67">
        <f t="shared" si="17"/>
        <v>-33</v>
      </c>
      <c r="DP67">
        <f t="shared" si="17"/>
        <v>-33</v>
      </c>
      <c r="DQ67" t="s">
        <v>17</v>
      </c>
    </row>
    <row r="68" spans="20:121" x14ac:dyDescent="0.25">
      <c r="T68" t="s">
        <v>19</v>
      </c>
      <c r="U68">
        <f t="shared" si="18"/>
        <v>0</v>
      </c>
      <c r="V68">
        <f t="shared" si="19"/>
        <v>0</v>
      </c>
      <c r="W68">
        <f t="shared" si="19"/>
        <v>0</v>
      </c>
      <c r="X68">
        <f t="shared" si="16"/>
        <v>-1</v>
      </c>
      <c r="Y68">
        <f t="shared" si="16"/>
        <v>-1</v>
      </c>
      <c r="Z68">
        <f t="shared" si="16"/>
        <v>-1</v>
      </c>
      <c r="AA68">
        <f t="shared" si="16"/>
        <v>-2</v>
      </c>
      <c r="AB68">
        <f t="shared" si="16"/>
        <v>-2</v>
      </c>
      <c r="AC68">
        <f t="shared" si="16"/>
        <v>-2</v>
      </c>
      <c r="AD68">
        <f t="shared" si="16"/>
        <v>-3</v>
      </c>
      <c r="AE68">
        <f t="shared" si="16"/>
        <v>-3</v>
      </c>
      <c r="AF68">
        <f t="shared" si="16"/>
        <v>-3</v>
      </c>
      <c r="AG68">
        <f t="shared" si="16"/>
        <v>-4</v>
      </c>
      <c r="AH68">
        <f t="shared" si="16"/>
        <v>-4</v>
      </c>
      <c r="AI68">
        <f t="shared" si="16"/>
        <v>-4</v>
      </c>
      <c r="AJ68">
        <f t="shared" si="16"/>
        <v>-5</v>
      </c>
      <c r="AK68">
        <f t="shared" si="16"/>
        <v>-5</v>
      </c>
      <c r="AL68">
        <f t="shared" si="16"/>
        <v>-5</v>
      </c>
      <c r="AM68">
        <f t="shared" si="16"/>
        <v>-6</v>
      </c>
      <c r="AN68">
        <f t="shared" si="16"/>
        <v>-6</v>
      </c>
      <c r="AO68">
        <f t="shared" si="16"/>
        <v>-6</v>
      </c>
      <c r="AP68">
        <f t="shared" si="16"/>
        <v>-7</v>
      </c>
      <c r="AQ68">
        <f t="shared" si="16"/>
        <v>-7</v>
      </c>
      <c r="AR68">
        <f t="shared" si="16"/>
        <v>-7</v>
      </c>
      <c r="AS68">
        <f t="shared" si="16"/>
        <v>-8</v>
      </c>
      <c r="AT68">
        <f t="shared" si="16"/>
        <v>-8</v>
      </c>
      <c r="AU68">
        <f t="shared" si="16"/>
        <v>-8</v>
      </c>
      <c r="AV68">
        <f t="shared" si="16"/>
        <v>-9</v>
      </c>
      <c r="AW68">
        <f t="shared" si="16"/>
        <v>-9</v>
      </c>
      <c r="AX68">
        <f t="shared" si="16"/>
        <v>-9</v>
      </c>
      <c r="AY68">
        <f t="shared" si="16"/>
        <v>-10</v>
      </c>
      <c r="AZ68">
        <f t="shared" si="16"/>
        <v>-10</v>
      </c>
      <c r="BA68">
        <f t="shared" si="16"/>
        <v>-10</v>
      </c>
      <c r="BB68">
        <f t="shared" si="16"/>
        <v>-11</v>
      </c>
      <c r="BC68">
        <f t="shared" si="16"/>
        <v>-11</v>
      </c>
      <c r="BD68">
        <f t="shared" si="16"/>
        <v>-11</v>
      </c>
      <c r="BE68">
        <f t="shared" si="16"/>
        <v>-12</v>
      </c>
      <c r="BF68">
        <f t="shared" si="16"/>
        <v>-12</v>
      </c>
      <c r="BG68">
        <f t="shared" si="16"/>
        <v>-12</v>
      </c>
      <c r="BH68">
        <f t="shared" si="16"/>
        <v>-13</v>
      </c>
      <c r="BI68">
        <f t="shared" si="16"/>
        <v>-13</v>
      </c>
      <c r="BJ68">
        <f t="shared" si="16"/>
        <v>-13</v>
      </c>
      <c r="BK68">
        <f t="shared" si="16"/>
        <v>-14</v>
      </c>
      <c r="BL68">
        <f t="shared" si="16"/>
        <v>-14</v>
      </c>
      <c r="BM68">
        <f t="shared" si="16"/>
        <v>-14</v>
      </c>
      <c r="BN68">
        <f t="shared" si="16"/>
        <v>-15</v>
      </c>
      <c r="BO68">
        <f t="shared" si="16"/>
        <v>-15</v>
      </c>
      <c r="BP68">
        <f t="shared" si="16"/>
        <v>-15</v>
      </c>
      <c r="BQ68">
        <f t="shared" si="16"/>
        <v>-16</v>
      </c>
      <c r="BR68">
        <f t="shared" si="16"/>
        <v>-16</v>
      </c>
      <c r="BS68">
        <f t="shared" si="16"/>
        <v>-16</v>
      </c>
      <c r="BT68">
        <f t="shared" si="16"/>
        <v>-17</v>
      </c>
      <c r="BU68">
        <f t="shared" si="16"/>
        <v>-17</v>
      </c>
      <c r="BV68">
        <f t="shared" si="16"/>
        <v>-17</v>
      </c>
      <c r="BW68">
        <f t="shared" si="16"/>
        <v>-18</v>
      </c>
      <c r="BX68">
        <f t="shared" si="16"/>
        <v>-18</v>
      </c>
      <c r="BY68">
        <f t="shared" si="16"/>
        <v>-18</v>
      </c>
      <c r="BZ68">
        <f t="shared" si="16"/>
        <v>-19</v>
      </c>
      <c r="CA68">
        <f t="shared" si="16"/>
        <v>-19</v>
      </c>
      <c r="CB68">
        <f t="shared" si="16"/>
        <v>-19</v>
      </c>
      <c r="CC68">
        <f t="shared" si="16"/>
        <v>-20</v>
      </c>
      <c r="CD68">
        <f t="shared" si="16"/>
        <v>-20</v>
      </c>
      <c r="CE68">
        <f t="shared" si="16"/>
        <v>-20</v>
      </c>
      <c r="CF68">
        <f t="shared" si="16"/>
        <v>-21</v>
      </c>
      <c r="CG68">
        <f t="shared" si="16"/>
        <v>-21</v>
      </c>
      <c r="CH68">
        <f t="shared" si="16"/>
        <v>-21</v>
      </c>
      <c r="CI68">
        <f t="shared" si="16"/>
        <v>-22</v>
      </c>
      <c r="CJ68">
        <f t="shared" si="17"/>
        <v>-22</v>
      </c>
      <c r="CK68">
        <f t="shared" si="17"/>
        <v>-22</v>
      </c>
      <c r="CL68">
        <f t="shared" si="17"/>
        <v>-23</v>
      </c>
      <c r="CM68">
        <f t="shared" si="17"/>
        <v>-23</v>
      </c>
      <c r="CN68">
        <f t="shared" si="17"/>
        <v>-23</v>
      </c>
      <c r="CO68">
        <f t="shared" si="17"/>
        <v>-24</v>
      </c>
      <c r="CP68">
        <f t="shared" si="17"/>
        <v>-24</v>
      </c>
      <c r="CQ68">
        <f t="shared" si="17"/>
        <v>-24</v>
      </c>
      <c r="CR68">
        <f t="shared" si="17"/>
        <v>-25</v>
      </c>
      <c r="CS68">
        <f t="shared" si="17"/>
        <v>-25</v>
      </c>
      <c r="CT68">
        <f t="shared" si="17"/>
        <v>-25</v>
      </c>
      <c r="CU68">
        <f t="shared" si="17"/>
        <v>-26</v>
      </c>
      <c r="CV68">
        <f t="shared" si="17"/>
        <v>-26</v>
      </c>
      <c r="CW68">
        <f t="shared" si="17"/>
        <v>-26</v>
      </c>
      <c r="CX68">
        <f t="shared" si="17"/>
        <v>-27</v>
      </c>
      <c r="CY68">
        <f t="shared" si="17"/>
        <v>-27</v>
      </c>
      <c r="CZ68">
        <f t="shared" si="17"/>
        <v>-27</v>
      </c>
      <c r="DA68">
        <f t="shared" si="17"/>
        <v>-28</v>
      </c>
      <c r="DB68">
        <f t="shared" si="17"/>
        <v>-28</v>
      </c>
      <c r="DC68">
        <f t="shared" si="17"/>
        <v>-28</v>
      </c>
      <c r="DD68">
        <f t="shared" si="17"/>
        <v>-29</v>
      </c>
      <c r="DE68">
        <f t="shared" si="17"/>
        <v>-29</v>
      </c>
      <c r="DF68">
        <f t="shared" si="17"/>
        <v>-29</v>
      </c>
      <c r="DG68">
        <f t="shared" si="17"/>
        <v>-30</v>
      </c>
      <c r="DH68">
        <f t="shared" si="17"/>
        <v>-30</v>
      </c>
      <c r="DI68">
        <f t="shared" si="17"/>
        <v>-30</v>
      </c>
      <c r="DJ68">
        <f t="shared" si="17"/>
        <v>-31</v>
      </c>
      <c r="DK68">
        <f t="shared" si="17"/>
        <v>-31</v>
      </c>
      <c r="DL68">
        <f t="shared" si="17"/>
        <v>-31</v>
      </c>
      <c r="DM68">
        <f t="shared" si="17"/>
        <v>-32</v>
      </c>
      <c r="DN68">
        <f t="shared" si="17"/>
        <v>-32</v>
      </c>
      <c r="DO68">
        <f t="shared" si="17"/>
        <v>-32</v>
      </c>
      <c r="DP68">
        <f t="shared" si="17"/>
        <v>-33</v>
      </c>
      <c r="DQ68" t="s">
        <v>19</v>
      </c>
    </row>
    <row r="70" spans="20:121" x14ac:dyDescent="0.25">
      <c r="U70" t="e">
        <f>SMALL(U59:U64,COUNTIF(U59:U64,0)+1)</f>
        <v>#NUM!</v>
      </c>
      <c r="V70" t="e">
        <f>SMALL(V59:V64,COUNTIF(V59:V64,0)+1)</f>
        <v>#NUM!</v>
      </c>
      <c r="W70" t="e">
        <f>SMALL(W59:W64,COUNTIF(W59:W64,0)+1)</f>
        <v>#NUM!</v>
      </c>
      <c r="X70" t="e">
        <f t="shared" ref="X70:CI70" si="20">SMALL(X59:X64,COUNTIF(X59:X64,0)+1)</f>
        <v>#NUM!</v>
      </c>
      <c r="Y70" t="e">
        <f t="shared" si="20"/>
        <v>#NUM!</v>
      </c>
      <c r="Z70" t="e">
        <f t="shared" si="20"/>
        <v>#NUM!</v>
      </c>
      <c r="AA70" t="e">
        <f t="shared" si="20"/>
        <v>#NUM!</v>
      </c>
      <c r="AB70" t="e">
        <f t="shared" si="20"/>
        <v>#NUM!</v>
      </c>
      <c r="AC70" t="e">
        <f t="shared" si="20"/>
        <v>#NUM!</v>
      </c>
      <c r="AD70" t="e">
        <f t="shared" si="20"/>
        <v>#NUM!</v>
      </c>
      <c r="AE70" t="e">
        <f t="shared" si="20"/>
        <v>#NUM!</v>
      </c>
      <c r="AF70" t="e">
        <f t="shared" si="20"/>
        <v>#NUM!</v>
      </c>
      <c r="AG70" t="e">
        <f t="shared" si="20"/>
        <v>#NUM!</v>
      </c>
      <c r="AH70" t="e">
        <f t="shared" si="20"/>
        <v>#NUM!</v>
      </c>
      <c r="AI70" t="e">
        <f t="shared" si="20"/>
        <v>#NUM!</v>
      </c>
      <c r="AJ70" t="e">
        <f t="shared" si="20"/>
        <v>#NUM!</v>
      </c>
      <c r="AK70" t="e">
        <f t="shared" si="20"/>
        <v>#NUM!</v>
      </c>
      <c r="AL70" t="e">
        <f t="shared" si="20"/>
        <v>#NUM!</v>
      </c>
      <c r="AM70" t="e">
        <f t="shared" si="20"/>
        <v>#NUM!</v>
      </c>
      <c r="AN70" t="e">
        <f t="shared" si="20"/>
        <v>#NUM!</v>
      </c>
      <c r="AO70" t="e">
        <f t="shared" si="20"/>
        <v>#NUM!</v>
      </c>
      <c r="AP70" t="e">
        <f t="shared" si="20"/>
        <v>#NUM!</v>
      </c>
      <c r="AQ70" t="e">
        <f t="shared" si="20"/>
        <v>#NUM!</v>
      </c>
      <c r="AR70" t="e">
        <f t="shared" si="20"/>
        <v>#NUM!</v>
      </c>
      <c r="AS70" t="e">
        <f t="shared" si="20"/>
        <v>#NUM!</v>
      </c>
      <c r="AT70" t="e">
        <f t="shared" si="20"/>
        <v>#NUM!</v>
      </c>
      <c r="AU70" t="e">
        <f t="shared" si="20"/>
        <v>#NUM!</v>
      </c>
      <c r="AV70" t="e">
        <f t="shared" si="20"/>
        <v>#NUM!</v>
      </c>
      <c r="AW70" t="e">
        <f t="shared" si="20"/>
        <v>#NUM!</v>
      </c>
      <c r="AX70" t="e">
        <f t="shared" si="20"/>
        <v>#NUM!</v>
      </c>
      <c r="AY70" t="e">
        <f t="shared" si="20"/>
        <v>#NUM!</v>
      </c>
      <c r="AZ70" t="e">
        <f t="shared" si="20"/>
        <v>#NUM!</v>
      </c>
      <c r="BA70" t="e">
        <f t="shared" si="20"/>
        <v>#NUM!</v>
      </c>
      <c r="BB70" t="e">
        <f t="shared" si="20"/>
        <v>#NUM!</v>
      </c>
      <c r="BC70" t="e">
        <f t="shared" si="20"/>
        <v>#NUM!</v>
      </c>
      <c r="BD70" t="e">
        <f t="shared" si="20"/>
        <v>#NUM!</v>
      </c>
      <c r="BE70" t="e">
        <f t="shared" si="20"/>
        <v>#NUM!</v>
      </c>
      <c r="BF70" t="e">
        <f t="shared" si="20"/>
        <v>#NUM!</v>
      </c>
      <c r="BG70" t="e">
        <f t="shared" si="20"/>
        <v>#NUM!</v>
      </c>
      <c r="BH70" t="e">
        <f t="shared" si="20"/>
        <v>#NUM!</v>
      </c>
      <c r="BI70" t="e">
        <f t="shared" si="20"/>
        <v>#NUM!</v>
      </c>
      <c r="BJ70" t="e">
        <f t="shared" si="20"/>
        <v>#NUM!</v>
      </c>
      <c r="BK70" t="e">
        <f t="shared" si="20"/>
        <v>#NUM!</v>
      </c>
      <c r="BL70" t="e">
        <f t="shared" si="20"/>
        <v>#NUM!</v>
      </c>
      <c r="BM70" t="e">
        <f t="shared" si="20"/>
        <v>#NUM!</v>
      </c>
      <c r="BN70" t="e">
        <f t="shared" si="20"/>
        <v>#NUM!</v>
      </c>
      <c r="BO70" t="e">
        <f t="shared" si="20"/>
        <v>#NUM!</v>
      </c>
      <c r="BP70" t="e">
        <f t="shared" si="20"/>
        <v>#NUM!</v>
      </c>
      <c r="BQ70" t="e">
        <f t="shared" si="20"/>
        <v>#NUM!</v>
      </c>
      <c r="BR70" t="e">
        <f t="shared" si="20"/>
        <v>#NUM!</v>
      </c>
      <c r="BS70" t="e">
        <f t="shared" si="20"/>
        <v>#NUM!</v>
      </c>
      <c r="BT70" t="e">
        <f t="shared" si="20"/>
        <v>#NUM!</v>
      </c>
      <c r="BU70" t="e">
        <f t="shared" si="20"/>
        <v>#NUM!</v>
      </c>
      <c r="BV70" t="e">
        <f t="shared" si="20"/>
        <v>#NUM!</v>
      </c>
      <c r="BW70" t="e">
        <f t="shared" si="20"/>
        <v>#NUM!</v>
      </c>
      <c r="BX70" t="e">
        <f t="shared" si="20"/>
        <v>#NUM!</v>
      </c>
      <c r="BY70" t="e">
        <f t="shared" si="20"/>
        <v>#NUM!</v>
      </c>
      <c r="BZ70" t="e">
        <f t="shared" si="20"/>
        <v>#NUM!</v>
      </c>
      <c r="CA70" t="e">
        <f t="shared" si="20"/>
        <v>#NUM!</v>
      </c>
      <c r="CB70" t="e">
        <f t="shared" si="20"/>
        <v>#NUM!</v>
      </c>
      <c r="CC70" t="e">
        <f t="shared" si="20"/>
        <v>#NUM!</v>
      </c>
      <c r="CD70" t="e">
        <f t="shared" si="20"/>
        <v>#NUM!</v>
      </c>
      <c r="CE70" t="e">
        <f t="shared" si="20"/>
        <v>#NUM!</v>
      </c>
      <c r="CF70" t="e">
        <f t="shared" si="20"/>
        <v>#NUM!</v>
      </c>
      <c r="CG70" t="e">
        <f t="shared" si="20"/>
        <v>#NUM!</v>
      </c>
      <c r="CH70" t="e">
        <f t="shared" si="20"/>
        <v>#NUM!</v>
      </c>
      <c r="CI70" t="e">
        <f t="shared" si="20"/>
        <v>#NUM!</v>
      </c>
      <c r="CJ70" t="e">
        <f t="shared" ref="CJ70:DP70" si="21">SMALL(CJ59:CJ64,COUNTIF(CJ59:CJ64,0)+1)</f>
        <v>#NUM!</v>
      </c>
      <c r="CK70" t="e">
        <f t="shared" si="21"/>
        <v>#NUM!</v>
      </c>
      <c r="CL70" t="e">
        <f t="shared" si="21"/>
        <v>#NUM!</v>
      </c>
      <c r="CM70" t="e">
        <f t="shared" si="21"/>
        <v>#NUM!</v>
      </c>
      <c r="CN70" t="e">
        <f t="shared" si="21"/>
        <v>#NUM!</v>
      </c>
      <c r="CO70" t="e">
        <f t="shared" si="21"/>
        <v>#NUM!</v>
      </c>
      <c r="CP70" t="e">
        <f t="shared" si="21"/>
        <v>#NUM!</v>
      </c>
      <c r="CQ70" t="e">
        <f t="shared" si="21"/>
        <v>#NUM!</v>
      </c>
      <c r="CR70" t="e">
        <f t="shared" si="21"/>
        <v>#NUM!</v>
      </c>
      <c r="CS70" t="e">
        <f t="shared" si="21"/>
        <v>#NUM!</v>
      </c>
      <c r="CT70" t="e">
        <f t="shared" si="21"/>
        <v>#NUM!</v>
      </c>
      <c r="CU70" t="e">
        <f t="shared" si="21"/>
        <v>#NUM!</v>
      </c>
      <c r="CV70" t="e">
        <f t="shared" si="21"/>
        <v>#NUM!</v>
      </c>
      <c r="CW70" t="e">
        <f t="shared" si="21"/>
        <v>#NUM!</v>
      </c>
      <c r="CX70" t="e">
        <f t="shared" si="21"/>
        <v>#NUM!</v>
      </c>
      <c r="CY70" t="e">
        <f t="shared" si="21"/>
        <v>#NUM!</v>
      </c>
      <c r="CZ70" t="e">
        <f t="shared" si="21"/>
        <v>#NUM!</v>
      </c>
      <c r="DA70" t="e">
        <f t="shared" si="21"/>
        <v>#NUM!</v>
      </c>
      <c r="DB70" t="e">
        <f t="shared" si="21"/>
        <v>#NUM!</v>
      </c>
      <c r="DC70" t="e">
        <f t="shared" si="21"/>
        <v>#NUM!</v>
      </c>
      <c r="DD70" t="e">
        <f t="shared" si="21"/>
        <v>#NUM!</v>
      </c>
      <c r="DE70" t="e">
        <f t="shared" si="21"/>
        <v>#NUM!</v>
      </c>
      <c r="DF70" t="e">
        <f t="shared" si="21"/>
        <v>#NUM!</v>
      </c>
      <c r="DG70" t="e">
        <f t="shared" si="21"/>
        <v>#NUM!</v>
      </c>
      <c r="DH70" t="e">
        <f t="shared" si="21"/>
        <v>#NUM!</v>
      </c>
      <c r="DI70" t="e">
        <f t="shared" si="21"/>
        <v>#NUM!</v>
      </c>
      <c r="DJ70" t="e">
        <f t="shared" si="21"/>
        <v>#NUM!</v>
      </c>
      <c r="DK70" t="e">
        <f t="shared" si="21"/>
        <v>#NUM!</v>
      </c>
      <c r="DL70" t="e">
        <f t="shared" si="21"/>
        <v>#NUM!</v>
      </c>
      <c r="DM70" t="e">
        <f t="shared" si="21"/>
        <v>#NUM!</v>
      </c>
      <c r="DN70" t="e">
        <f t="shared" si="21"/>
        <v>#NUM!</v>
      </c>
      <c r="DO70" t="e">
        <f t="shared" si="21"/>
        <v>#NUM!</v>
      </c>
      <c r="DP70" t="e">
        <f t="shared" si="21"/>
        <v>#NUM!</v>
      </c>
    </row>
    <row r="71" spans="20:121" x14ac:dyDescent="0.25">
      <c r="U71" t="e">
        <f>VLOOKUP(U70,U59:DQ64,101,FALSE)</f>
        <v>#NUM!</v>
      </c>
      <c r="V71" t="e">
        <f>VLOOKUP(V70,V59:DR64,V74,FALSE)</f>
        <v>#NUM!</v>
      </c>
      <c r="W71" t="e">
        <f>VLOOKUP(W70,W59:DS64,W74,FALSE)</f>
        <v>#NUM!</v>
      </c>
      <c r="X71" t="e">
        <f t="shared" ref="X71:CI71" si="22">VLOOKUP(X70,X59:DT64,X74,FALSE)</f>
        <v>#NUM!</v>
      </c>
      <c r="Y71" t="e">
        <f t="shared" si="22"/>
        <v>#NUM!</v>
      </c>
      <c r="Z71" t="e">
        <f t="shared" si="22"/>
        <v>#NUM!</v>
      </c>
      <c r="AA71" t="e">
        <f t="shared" si="22"/>
        <v>#NUM!</v>
      </c>
      <c r="AB71" t="e">
        <f t="shared" si="22"/>
        <v>#NUM!</v>
      </c>
      <c r="AC71" t="e">
        <f t="shared" si="22"/>
        <v>#NUM!</v>
      </c>
      <c r="AD71" t="e">
        <f t="shared" si="22"/>
        <v>#NUM!</v>
      </c>
      <c r="AE71" t="e">
        <f t="shared" si="22"/>
        <v>#NUM!</v>
      </c>
      <c r="AF71" t="e">
        <f t="shared" si="22"/>
        <v>#NUM!</v>
      </c>
      <c r="AG71" t="e">
        <f t="shared" si="22"/>
        <v>#NUM!</v>
      </c>
      <c r="AH71" t="e">
        <f t="shared" si="22"/>
        <v>#NUM!</v>
      </c>
      <c r="AI71" t="e">
        <f t="shared" si="22"/>
        <v>#NUM!</v>
      </c>
      <c r="AJ71" t="e">
        <f t="shared" si="22"/>
        <v>#NUM!</v>
      </c>
      <c r="AK71" t="e">
        <f t="shared" si="22"/>
        <v>#NUM!</v>
      </c>
      <c r="AL71" t="e">
        <f t="shared" si="22"/>
        <v>#NUM!</v>
      </c>
      <c r="AM71" t="e">
        <f t="shared" si="22"/>
        <v>#NUM!</v>
      </c>
      <c r="AN71" t="e">
        <f t="shared" si="22"/>
        <v>#NUM!</v>
      </c>
      <c r="AO71" t="e">
        <f t="shared" si="22"/>
        <v>#NUM!</v>
      </c>
      <c r="AP71" t="e">
        <f t="shared" si="22"/>
        <v>#NUM!</v>
      </c>
      <c r="AQ71" t="e">
        <f t="shared" si="22"/>
        <v>#NUM!</v>
      </c>
      <c r="AR71" t="e">
        <f t="shared" si="22"/>
        <v>#NUM!</v>
      </c>
      <c r="AS71" t="e">
        <f t="shared" si="22"/>
        <v>#NUM!</v>
      </c>
      <c r="AT71" t="e">
        <f t="shared" si="22"/>
        <v>#NUM!</v>
      </c>
      <c r="AU71" t="e">
        <f t="shared" si="22"/>
        <v>#NUM!</v>
      </c>
      <c r="AV71" t="e">
        <f t="shared" si="22"/>
        <v>#NUM!</v>
      </c>
      <c r="AW71" t="e">
        <f t="shared" si="22"/>
        <v>#NUM!</v>
      </c>
      <c r="AX71" t="e">
        <f t="shared" si="22"/>
        <v>#NUM!</v>
      </c>
      <c r="AY71" t="e">
        <f t="shared" si="22"/>
        <v>#NUM!</v>
      </c>
      <c r="AZ71" t="e">
        <f t="shared" si="22"/>
        <v>#NUM!</v>
      </c>
      <c r="BA71" t="e">
        <f t="shared" si="22"/>
        <v>#NUM!</v>
      </c>
      <c r="BB71" t="e">
        <f t="shared" si="22"/>
        <v>#NUM!</v>
      </c>
      <c r="BC71" t="e">
        <f t="shared" si="22"/>
        <v>#NUM!</v>
      </c>
      <c r="BD71" t="e">
        <f t="shared" si="22"/>
        <v>#NUM!</v>
      </c>
      <c r="BE71" t="e">
        <f t="shared" si="22"/>
        <v>#NUM!</v>
      </c>
      <c r="BF71" t="e">
        <f t="shared" si="22"/>
        <v>#NUM!</v>
      </c>
      <c r="BG71" t="e">
        <f t="shared" si="22"/>
        <v>#NUM!</v>
      </c>
      <c r="BH71" t="e">
        <f t="shared" si="22"/>
        <v>#NUM!</v>
      </c>
      <c r="BI71" t="e">
        <f t="shared" si="22"/>
        <v>#NUM!</v>
      </c>
      <c r="BJ71" t="e">
        <f t="shared" si="22"/>
        <v>#NUM!</v>
      </c>
      <c r="BK71" t="e">
        <f t="shared" si="22"/>
        <v>#NUM!</v>
      </c>
      <c r="BL71" t="e">
        <f t="shared" si="22"/>
        <v>#NUM!</v>
      </c>
      <c r="BM71" t="e">
        <f t="shared" si="22"/>
        <v>#NUM!</v>
      </c>
      <c r="BN71" t="e">
        <f t="shared" si="22"/>
        <v>#NUM!</v>
      </c>
      <c r="BO71" t="e">
        <f t="shared" si="22"/>
        <v>#NUM!</v>
      </c>
      <c r="BP71" t="e">
        <f t="shared" si="22"/>
        <v>#NUM!</v>
      </c>
      <c r="BQ71" t="e">
        <f t="shared" si="22"/>
        <v>#NUM!</v>
      </c>
      <c r="BR71" t="e">
        <f t="shared" si="22"/>
        <v>#NUM!</v>
      </c>
      <c r="BS71" t="e">
        <f t="shared" si="22"/>
        <v>#NUM!</v>
      </c>
      <c r="BT71" t="e">
        <f t="shared" si="22"/>
        <v>#NUM!</v>
      </c>
      <c r="BU71" t="e">
        <f t="shared" si="22"/>
        <v>#NUM!</v>
      </c>
      <c r="BV71" t="e">
        <f t="shared" si="22"/>
        <v>#NUM!</v>
      </c>
      <c r="BW71" t="e">
        <f t="shared" si="22"/>
        <v>#NUM!</v>
      </c>
      <c r="BX71" t="e">
        <f t="shared" si="22"/>
        <v>#NUM!</v>
      </c>
      <c r="BY71" t="e">
        <f t="shared" si="22"/>
        <v>#NUM!</v>
      </c>
      <c r="BZ71" t="e">
        <f t="shared" si="22"/>
        <v>#NUM!</v>
      </c>
      <c r="CA71" t="e">
        <f t="shared" si="22"/>
        <v>#NUM!</v>
      </c>
      <c r="CB71" t="e">
        <f t="shared" si="22"/>
        <v>#NUM!</v>
      </c>
      <c r="CC71" t="e">
        <f t="shared" si="22"/>
        <v>#NUM!</v>
      </c>
      <c r="CD71" t="e">
        <f t="shared" si="22"/>
        <v>#NUM!</v>
      </c>
      <c r="CE71" t="e">
        <f t="shared" si="22"/>
        <v>#NUM!</v>
      </c>
      <c r="CF71" t="e">
        <f t="shared" si="22"/>
        <v>#NUM!</v>
      </c>
      <c r="CG71" t="e">
        <f t="shared" si="22"/>
        <v>#NUM!</v>
      </c>
      <c r="CH71" t="e">
        <f t="shared" si="22"/>
        <v>#NUM!</v>
      </c>
      <c r="CI71" t="e">
        <f t="shared" si="22"/>
        <v>#NUM!</v>
      </c>
      <c r="CJ71" t="e">
        <f t="shared" ref="CJ71:DP71" si="23">VLOOKUP(CJ70,CJ59:GF64,CJ74,FALSE)</f>
        <v>#NUM!</v>
      </c>
      <c r="CK71" t="e">
        <f t="shared" si="23"/>
        <v>#NUM!</v>
      </c>
      <c r="CL71" t="e">
        <f t="shared" si="23"/>
        <v>#NUM!</v>
      </c>
      <c r="CM71" t="e">
        <f t="shared" si="23"/>
        <v>#NUM!</v>
      </c>
      <c r="CN71" t="e">
        <f t="shared" si="23"/>
        <v>#NUM!</v>
      </c>
      <c r="CO71" t="e">
        <f t="shared" si="23"/>
        <v>#NUM!</v>
      </c>
      <c r="CP71" t="e">
        <f t="shared" si="23"/>
        <v>#NUM!</v>
      </c>
      <c r="CQ71" t="e">
        <f t="shared" si="23"/>
        <v>#NUM!</v>
      </c>
      <c r="CR71" t="e">
        <f t="shared" si="23"/>
        <v>#NUM!</v>
      </c>
      <c r="CS71" t="e">
        <f t="shared" si="23"/>
        <v>#NUM!</v>
      </c>
      <c r="CT71" t="e">
        <f t="shared" si="23"/>
        <v>#NUM!</v>
      </c>
      <c r="CU71" t="e">
        <f t="shared" si="23"/>
        <v>#NUM!</v>
      </c>
      <c r="CV71" t="e">
        <f t="shared" si="23"/>
        <v>#NUM!</v>
      </c>
      <c r="CW71" t="e">
        <f t="shared" si="23"/>
        <v>#NUM!</v>
      </c>
      <c r="CX71" t="e">
        <f t="shared" si="23"/>
        <v>#NUM!</v>
      </c>
      <c r="CY71" t="e">
        <f t="shared" si="23"/>
        <v>#NUM!</v>
      </c>
      <c r="CZ71" t="e">
        <f t="shared" si="23"/>
        <v>#NUM!</v>
      </c>
      <c r="DA71" t="e">
        <f t="shared" si="23"/>
        <v>#NUM!</v>
      </c>
      <c r="DB71" t="e">
        <f t="shared" si="23"/>
        <v>#NUM!</v>
      </c>
      <c r="DC71" t="e">
        <f t="shared" si="23"/>
        <v>#NUM!</v>
      </c>
      <c r="DD71" t="e">
        <f t="shared" si="23"/>
        <v>#NUM!</v>
      </c>
      <c r="DE71" t="e">
        <f t="shared" si="23"/>
        <v>#NUM!</v>
      </c>
      <c r="DF71" t="e">
        <f t="shared" si="23"/>
        <v>#NUM!</v>
      </c>
      <c r="DG71" t="e">
        <f t="shared" si="23"/>
        <v>#NUM!</v>
      </c>
      <c r="DH71" t="e">
        <f t="shared" si="23"/>
        <v>#NUM!</v>
      </c>
      <c r="DI71" t="e">
        <f t="shared" si="23"/>
        <v>#NUM!</v>
      </c>
      <c r="DJ71" t="e">
        <f t="shared" si="23"/>
        <v>#NUM!</v>
      </c>
      <c r="DK71" t="e">
        <f t="shared" si="23"/>
        <v>#NUM!</v>
      </c>
      <c r="DL71" t="e">
        <f t="shared" si="23"/>
        <v>#NUM!</v>
      </c>
      <c r="DM71" t="e">
        <f t="shared" si="23"/>
        <v>#NUM!</v>
      </c>
      <c r="DN71" t="e">
        <f t="shared" si="23"/>
        <v>#NUM!</v>
      </c>
      <c r="DO71" t="e">
        <f t="shared" si="23"/>
        <v>#NUM!</v>
      </c>
      <c r="DP71" t="e">
        <f t="shared" si="23"/>
        <v>#NUM!</v>
      </c>
    </row>
    <row r="72" spans="20:121" x14ac:dyDescent="0.25">
      <c r="U72">
        <f>MAX(U66:U68)</f>
        <v>0</v>
      </c>
      <c r="V72">
        <f>MAX(V66:V68)</f>
        <v>0</v>
      </c>
      <c r="W72">
        <f>MAX(W66:W68)</f>
        <v>0</v>
      </c>
      <c r="X72">
        <f t="shared" ref="X72:CI72" si="24">MAX(X66:X68)</f>
        <v>-1</v>
      </c>
      <c r="Y72">
        <f t="shared" si="24"/>
        <v>-1</v>
      </c>
      <c r="Z72">
        <f t="shared" si="24"/>
        <v>-1</v>
      </c>
      <c r="AA72">
        <f t="shared" si="24"/>
        <v>-2</v>
      </c>
      <c r="AB72">
        <f t="shared" si="24"/>
        <v>-2</v>
      </c>
      <c r="AC72">
        <f t="shared" si="24"/>
        <v>-2</v>
      </c>
      <c r="AD72">
        <f t="shared" si="24"/>
        <v>-3</v>
      </c>
      <c r="AE72">
        <f t="shared" si="24"/>
        <v>-3</v>
      </c>
      <c r="AF72">
        <f t="shared" si="24"/>
        <v>-3</v>
      </c>
      <c r="AG72">
        <f t="shared" si="24"/>
        <v>-4</v>
      </c>
      <c r="AH72">
        <f t="shared" si="24"/>
        <v>-4</v>
      </c>
      <c r="AI72">
        <f t="shared" si="24"/>
        <v>-4</v>
      </c>
      <c r="AJ72">
        <f t="shared" si="24"/>
        <v>-5</v>
      </c>
      <c r="AK72">
        <f t="shared" si="24"/>
        <v>-5</v>
      </c>
      <c r="AL72">
        <f t="shared" si="24"/>
        <v>-5</v>
      </c>
      <c r="AM72">
        <f t="shared" si="24"/>
        <v>-6</v>
      </c>
      <c r="AN72">
        <f t="shared" si="24"/>
        <v>-6</v>
      </c>
      <c r="AO72">
        <f t="shared" si="24"/>
        <v>-6</v>
      </c>
      <c r="AP72">
        <f t="shared" si="24"/>
        <v>-7</v>
      </c>
      <c r="AQ72">
        <f t="shared" si="24"/>
        <v>-7</v>
      </c>
      <c r="AR72">
        <f t="shared" si="24"/>
        <v>-7</v>
      </c>
      <c r="AS72">
        <f t="shared" si="24"/>
        <v>-8</v>
      </c>
      <c r="AT72">
        <f t="shared" si="24"/>
        <v>-8</v>
      </c>
      <c r="AU72">
        <f t="shared" si="24"/>
        <v>-8</v>
      </c>
      <c r="AV72">
        <f t="shared" si="24"/>
        <v>-9</v>
      </c>
      <c r="AW72">
        <f t="shared" si="24"/>
        <v>-9</v>
      </c>
      <c r="AX72">
        <f t="shared" si="24"/>
        <v>-9</v>
      </c>
      <c r="AY72">
        <f t="shared" si="24"/>
        <v>-10</v>
      </c>
      <c r="AZ72">
        <f t="shared" si="24"/>
        <v>-10</v>
      </c>
      <c r="BA72">
        <f t="shared" si="24"/>
        <v>-10</v>
      </c>
      <c r="BB72">
        <f t="shared" si="24"/>
        <v>-11</v>
      </c>
      <c r="BC72">
        <f t="shared" si="24"/>
        <v>-11</v>
      </c>
      <c r="BD72">
        <f t="shared" si="24"/>
        <v>-11</v>
      </c>
      <c r="BE72">
        <f t="shared" si="24"/>
        <v>-12</v>
      </c>
      <c r="BF72">
        <f t="shared" si="24"/>
        <v>-12</v>
      </c>
      <c r="BG72">
        <f t="shared" si="24"/>
        <v>-12</v>
      </c>
      <c r="BH72">
        <f t="shared" si="24"/>
        <v>-13</v>
      </c>
      <c r="BI72">
        <f t="shared" si="24"/>
        <v>-13</v>
      </c>
      <c r="BJ72">
        <f t="shared" si="24"/>
        <v>-13</v>
      </c>
      <c r="BK72">
        <f t="shared" si="24"/>
        <v>-14</v>
      </c>
      <c r="BL72">
        <f t="shared" si="24"/>
        <v>-14</v>
      </c>
      <c r="BM72">
        <f t="shared" si="24"/>
        <v>-14</v>
      </c>
      <c r="BN72">
        <f t="shared" si="24"/>
        <v>-15</v>
      </c>
      <c r="BO72">
        <f t="shared" si="24"/>
        <v>-15</v>
      </c>
      <c r="BP72">
        <f t="shared" si="24"/>
        <v>-15</v>
      </c>
      <c r="BQ72">
        <f t="shared" si="24"/>
        <v>-16</v>
      </c>
      <c r="BR72">
        <f t="shared" si="24"/>
        <v>-16</v>
      </c>
      <c r="BS72">
        <f t="shared" si="24"/>
        <v>-16</v>
      </c>
      <c r="BT72">
        <f t="shared" si="24"/>
        <v>-17</v>
      </c>
      <c r="BU72">
        <f t="shared" si="24"/>
        <v>-17</v>
      </c>
      <c r="BV72">
        <f t="shared" si="24"/>
        <v>-17</v>
      </c>
      <c r="BW72">
        <f t="shared" si="24"/>
        <v>-18</v>
      </c>
      <c r="BX72">
        <f t="shared" si="24"/>
        <v>-18</v>
      </c>
      <c r="BY72">
        <f t="shared" si="24"/>
        <v>-18</v>
      </c>
      <c r="BZ72">
        <f t="shared" si="24"/>
        <v>-19</v>
      </c>
      <c r="CA72">
        <f t="shared" si="24"/>
        <v>-19</v>
      </c>
      <c r="CB72">
        <f t="shared" si="24"/>
        <v>-19</v>
      </c>
      <c r="CC72">
        <f t="shared" si="24"/>
        <v>-20</v>
      </c>
      <c r="CD72">
        <f t="shared" si="24"/>
        <v>-20</v>
      </c>
      <c r="CE72">
        <f t="shared" si="24"/>
        <v>-20</v>
      </c>
      <c r="CF72">
        <f t="shared" si="24"/>
        <v>-21</v>
      </c>
      <c r="CG72">
        <f t="shared" si="24"/>
        <v>-21</v>
      </c>
      <c r="CH72">
        <f t="shared" si="24"/>
        <v>-21</v>
      </c>
      <c r="CI72">
        <f t="shared" si="24"/>
        <v>-22</v>
      </c>
      <c r="CJ72">
        <f t="shared" ref="CJ72:DP72" si="25">MAX(CJ66:CJ68)</f>
        <v>-22</v>
      </c>
      <c r="CK72">
        <f t="shared" si="25"/>
        <v>-22</v>
      </c>
      <c r="CL72">
        <f t="shared" si="25"/>
        <v>-23</v>
      </c>
      <c r="CM72">
        <f t="shared" si="25"/>
        <v>-23</v>
      </c>
      <c r="CN72">
        <f t="shared" si="25"/>
        <v>-23</v>
      </c>
      <c r="CO72">
        <f t="shared" si="25"/>
        <v>-24</v>
      </c>
      <c r="CP72">
        <f t="shared" si="25"/>
        <v>-24</v>
      </c>
      <c r="CQ72">
        <f t="shared" si="25"/>
        <v>-24</v>
      </c>
      <c r="CR72">
        <f t="shared" si="25"/>
        <v>-25</v>
      </c>
      <c r="CS72">
        <f t="shared" si="25"/>
        <v>-25</v>
      </c>
      <c r="CT72">
        <f t="shared" si="25"/>
        <v>-25</v>
      </c>
      <c r="CU72">
        <f t="shared" si="25"/>
        <v>-26</v>
      </c>
      <c r="CV72">
        <f t="shared" si="25"/>
        <v>-26</v>
      </c>
      <c r="CW72">
        <f t="shared" si="25"/>
        <v>-26</v>
      </c>
      <c r="CX72">
        <f t="shared" si="25"/>
        <v>-27</v>
      </c>
      <c r="CY72">
        <f t="shared" si="25"/>
        <v>-27</v>
      </c>
      <c r="CZ72">
        <f t="shared" si="25"/>
        <v>-27</v>
      </c>
      <c r="DA72">
        <f t="shared" si="25"/>
        <v>-28</v>
      </c>
      <c r="DB72">
        <f t="shared" si="25"/>
        <v>-28</v>
      </c>
      <c r="DC72">
        <f t="shared" si="25"/>
        <v>-28</v>
      </c>
      <c r="DD72">
        <f t="shared" si="25"/>
        <v>-29</v>
      </c>
      <c r="DE72">
        <f t="shared" si="25"/>
        <v>-29</v>
      </c>
      <c r="DF72">
        <f t="shared" si="25"/>
        <v>-29</v>
      </c>
      <c r="DG72">
        <f t="shared" si="25"/>
        <v>-30</v>
      </c>
      <c r="DH72">
        <f t="shared" si="25"/>
        <v>-30</v>
      </c>
      <c r="DI72">
        <f t="shared" si="25"/>
        <v>-30</v>
      </c>
      <c r="DJ72">
        <f t="shared" si="25"/>
        <v>-31</v>
      </c>
      <c r="DK72">
        <f t="shared" si="25"/>
        <v>-31</v>
      </c>
      <c r="DL72">
        <f t="shared" si="25"/>
        <v>-31</v>
      </c>
      <c r="DM72">
        <f t="shared" si="25"/>
        <v>-32</v>
      </c>
      <c r="DN72">
        <f t="shared" si="25"/>
        <v>-32</v>
      </c>
      <c r="DO72">
        <f t="shared" si="25"/>
        <v>-32</v>
      </c>
      <c r="DP72">
        <f t="shared" si="25"/>
        <v>-33</v>
      </c>
    </row>
    <row r="73" spans="20:121" x14ac:dyDescent="0.25">
      <c r="U73" t="str">
        <f>VLOOKUP(U72,U66:DQ68,101,FALSE)</f>
        <v>Standard</v>
      </c>
      <c r="V73" t="str">
        <f>VLOOKUP(V72,V66:DR68,V74,FALSE)</f>
        <v>Premium</v>
      </c>
      <c r="W73" t="str">
        <f>VLOOKUP(W72,W66:DS68,W74,FALSE)</f>
        <v>Super Premium</v>
      </c>
      <c r="X73" t="str">
        <f t="shared" ref="X73:AI73" si="26">VLOOKUP(X72,X66:DT68,X74,FALSE)</f>
        <v>Standard</v>
      </c>
      <c r="Y73" t="str">
        <f t="shared" si="26"/>
        <v>Premium</v>
      </c>
      <c r="Z73" t="str">
        <f t="shared" si="26"/>
        <v>Super Premium</v>
      </c>
      <c r="AA73" t="str">
        <f t="shared" si="26"/>
        <v>Standard</v>
      </c>
      <c r="AB73" t="str">
        <f t="shared" si="26"/>
        <v>Premium</v>
      </c>
      <c r="AC73" t="str">
        <f t="shared" si="26"/>
        <v>Super Premium</v>
      </c>
      <c r="AD73" t="str">
        <f t="shared" si="26"/>
        <v>Standard</v>
      </c>
      <c r="AE73" t="str">
        <f t="shared" si="26"/>
        <v>Premium</v>
      </c>
      <c r="AF73" t="str">
        <f t="shared" si="26"/>
        <v>Super Premium</v>
      </c>
      <c r="AG73" t="str">
        <f t="shared" si="26"/>
        <v>Standard</v>
      </c>
      <c r="AH73" t="str">
        <f t="shared" si="26"/>
        <v>Premium</v>
      </c>
      <c r="AI73" t="str">
        <f t="shared" si="26"/>
        <v>Super Premium</v>
      </c>
      <c r="AJ73" t="str">
        <f>VLOOKUP(AJ72,AJ66:EF68,AJ74,FALSE)</f>
        <v>Standard</v>
      </c>
      <c r="AK73" t="str">
        <f t="shared" ref="AK73:CV73" si="27">VLOOKUP(AK72,AK66:EG68,AK74,FALSE)</f>
        <v>Premium</v>
      </c>
      <c r="AL73" t="str">
        <f t="shared" si="27"/>
        <v>Super Premium</v>
      </c>
      <c r="AM73" t="str">
        <f t="shared" si="27"/>
        <v>Standard</v>
      </c>
      <c r="AN73" t="str">
        <f t="shared" si="27"/>
        <v>Premium</v>
      </c>
      <c r="AO73" t="str">
        <f t="shared" si="27"/>
        <v>Super Premium</v>
      </c>
      <c r="AP73" t="str">
        <f t="shared" si="27"/>
        <v>Standard</v>
      </c>
      <c r="AQ73" t="str">
        <f t="shared" si="27"/>
        <v>Premium</v>
      </c>
      <c r="AR73" t="str">
        <f t="shared" si="27"/>
        <v>Super Premium</v>
      </c>
      <c r="AS73" t="str">
        <f t="shared" si="27"/>
        <v>Standard</v>
      </c>
      <c r="AT73" t="str">
        <f t="shared" si="27"/>
        <v>Premium</v>
      </c>
      <c r="AU73" t="str">
        <f t="shared" si="27"/>
        <v>Super Premium</v>
      </c>
      <c r="AV73" t="str">
        <f t="shared" si="27"/>
        <v>Standard</v>
      </c>
      <c r="AW73" t="str">
        <f t="shared" si="27"/>
        <v>Premium</v>
      </c>
      <c r="AX73" t="str">
        <f t="shared" si="27"/>
        <v>Super Premium</v>
      </c>
      <c r="AY73" t="str">
        <f t="shared" si="27"/>
        <v>Standard</v>
      </c>
      <c r="AZ73" t="str">
        <f t="shared" si="27"/>
        <v>Premium</v>
      </c>
      <c r="BA73" t="str">
        <f t="shared" si="27"/>
        <v>Super Premium</v>
      </c>
      <c r="BB73" t="str">
        <f t="shared" si="27"/>
        <v>Standard</v>
      </c>
      <c r="BC73" t="str">
        <f t="shared" si="27"/>
        <v>Premium</v>
      </c>
      <c r="BD73" t="str">
        <f t="shared" si="27"/>
        <v>Super Premium</v>
      </c>
      <c r="BE73" t="str">
        <f t="shared" si="27"/>
        <v>Standard</v>
      </c>
      <c r="BF73" t="str">
        <f t="shared" si="27"/>
        <v>Premium</v>
      </c>
      <c r="BG73" t="str">
        <f t="shared" si="27"/>
        <v>Super Premium</v>
      </c>
      <c r="BH73" t="str">
        <f t="shared" si="27"/>
        <v>Standard</v>
      </c>
      <c r="BI73" t="str">
        <f t="shared" si="27"/>
        <v>Premium</v>
      </c>
      <c r="BJ73" t="str">
        <f t="shared" si="27"/>
        <v>Super Premium</v>
      </c>
      <c r="BK73" t="str">
        <f t="shared" si="27"/>
        <v>Standard</v>
      </c>
      <c r="BL73" t="str">
        <f t="shared" si="27"/>
        <v>Premium</v>
      </c>
      <c r="BM73" t="str">
        <f t="shared" si="27"/>
        <v>Super Premium</v>
      </c>
      <c r="BN73" t="str">
        <f t="shared" si="27"/>
        <v>Standard</v>
      </c>
      <c r="BO73" t="str">
        <f t="shared" si="27"/>
        <v>Premium</v>
      </c>
      <c r="BP73" t="str">
        <f t="shared" si="27"/>
        <v>Super Premium</v>
      </c>
      <c r="BQ73" t="str">
        <f t="shared" si="27"/>
        <v>Standard</v>
      </c>
      <c r="BR73" t="str">
        <f t="shared" si="27"/>
        <v>Premium</v>
      </c>
      <c r="BS73" t="str">
        <f t="shared" si="27"/>
        <v>Super Premium</v>
      </c>
      <c r="BT73" t="str">
        <f t="shared" si="27"/>
        <v>Standard</v>
      </c>
      <c r="BU73" t="str">
        <f t="shared" si="27"/>
        <v>Premium</v>
      </c>
      <c r="BV73" t="str">
        <f t="shared" si="27"/>
        <v>Super Premium</v>
      </c>
      <c r="BW73" t="str">
        <f t="shared" si="27"/>
        <v>Standard</v>
      </c>
      <c r="BX73" t="str">
        <f t="shared" si="27"/>
        <v>Premium</v>
      </c>
      <c r="BY73" t="str">
        <f t="shared" si="27"/>
        <v>Super Premium</v>
      </c>
      <c r="BZ73" t="str">
        <f t="shared" si="27"/>
        <v>Standard</v>
      </c>
      <c r="CA73" t="str">
        <f t="shared" si="27"/>
        <v>Premium</v>
      </c>
      <c r="CB73" t="str">
        <f t="shared" si="27"/>
        <v>Super Premium</v>
      </c>
      <c r="CC73" t="str">
        <f t="shared" si="27"/>
        <v>Standard</v>
      </c>
      <c r="CD73" t="str">
        <f t="shared" si="27"/>
        <v>Premium</v>
      </c>
      <c r="CE73" t="str">
        <f t="shared" si="27"/>
        <v>Super Premium</v>
      </c>
      <c r="CF73" t="str">
        <f t="shared" si="27"/>
        <v>Standard</v>
      </c>
      <c r="CG73" t="str">
        <f t="shared" si="27"/>
        <v>Premium</v>
      </c>
      <c r="CH73" t="str">
        <f t="shared" si="27"/>
        <v>Super Premium</v>
      </c>
      <c r="CI73" t="str">
        <f t="shared" si="27"/>
        <v>Standard</v>
      </c>
      <c r="CJ73" t="str">
        <f t="shared" si="27"/>
        <v>Premium</v>
      </c>
      <c r="CK73" t="str">
        <f t="shared" si="27"/>
        <v>Super Premium</v>
      </c>
      <c r="CL73" t="str">
        <f t="shared" si="27"/>
        <v>Standard</v>
      </c>
      <c r="CM73" t="str">
        <f t="shared" si="27"/>
        <v>Premium</v>
      </c>
      <c r="CN73" t="str">
        <f t="shared" si="27"/>
        <v>Super Premium</v>
      </c>
      <c r="CO73" t="str">
        <f t="shared" si="27"/>
        <v>Standard</v>
      </c>
      <c r="CP73" t="str">
        <f t="shared" si="27"/>
        <v>Premium</v>
      </c>
      <c r="CQ73" t="str">
        <f t="shared" si="27"/>
        <v>Super Premium</v>
      </c>
      <c r="CR73" t="str">
        <f t="shared" si="27"/>
        <v>Standard</v>
      </c>
      <c r="CS73" t="str">
        <f t="shared" si="27"/>
        <v>Premium</v>
      </c>
      <c r="CT73" t="str">
        <f t="shared" si="27"/>
        <v>Super Premium</v>
      </c>
      <c r="CU73" t="str">
        <f t="shared" si="27"/>
        <v>Standard</v>
      </c>
      <c r="CV73" t="str">
        <f t="shared" si="27"/>
        <v>Premium</v>
      </c>
      <c r="CW73" t="str">
        <f t="shared" ref="CW73:DP73" si="28">VLOOKUP(CW72,CW66:GS68,CW74,FALSE)</f>
        <v>Super Premium</v>
      </c>
      <c r="CX73" t="str">
        <f t="shared" si="28"/>
        <v>Standard</v>
      </c>
      <c r="CY73" t="str">
        <f t="shared" si="28"/>
        <v>Premium</v>
      </c>
      <c r="CZ73" t="str">
        <f t="shared" si="28"/>
        <v>Super Premium</v>
      </c>
      <c r="DA73" t="str">
        <f t="shared" si="28"/>
        <v>Standard</v>
      </c>
      <c r="DB73" t="str">
        <f t="shared" si="28"/>
        <v>Premium</v>
      </c>
      <c r="DC73" t="str">
        <f t="shared" si="28"/>
        <v>Super Premium</v>
      </c>
      <c r="DD73" t="str">
        <f t="shared" si="28"/>
        <v>Standard</v>
      </c>
      <c r="DE73" t="str">
        <f t="shared" si="28"/>
        <v>Premium</v>
      </c>
      <c r="DF73" t="str">
        <f t="shared" si="28"/>
        <v>Super Premium</v>
      </c>
      <c r="DG73" t="str">
        <f t="shared" si="28"/>
        <v>Standard</v>
      </c>
      <c r="DH73" t="str">
        <f t="shared" si="28"/>
        <v>Premium</v>
      </c>
      <c r="DI73" t="str">
        <f t="shared" si="28"/>
        <v>Super Premium</v>
      </c>
      <c r="DJ73" t="str">
        <f t="shared" si="28"/>
        <v>Standard</v>
      </c>
      <c r="DK73" t="str">
        <f t="shared" si="28"/>
        <v>Premium</v>
      </c>
      <c r="DL73" t="str">
        <f t="shared" si="28"/>
        <v>Super Premium</v>
      </c>
      <c r="DM73" t="str">
        <f t="shared" si="28"/>
        <v>Standard</v>
      </c>
      <c r="DN73" t="str">
        <f t="shared" si="28"/>
        <v>Premium</v>
      </c>
      <c r="DO73" t="str">
        <f t="shared" si="28"/>
        <v>Super Premium</v>
      </c>
      <c r="DP73" t="str">
        <f t="shared" si="28"/>
        <v>Standard</v>
      </c>
    </row>
    <row r="74" spans="20:121" x14ac:dyDescent="0.25">
      <c r="U74">
        <v>101</v>
      </c>
      <c r="V74">
        <v>100</v>
      </c>
      <c r="W74">
        <v>99</v>
      </c>
      <c r="X74">
        <v>98</v>
      </c>
      <c r="Y74">
        <v>97</v>
      </c>
      <c r="Z74">
        <v>96</v>
      </c>
      <c r="AA74">
        <v>95</v>
      </c>
      <c r="AB74">
        <v>94</v>
      </c>
      <c r="AC74">
        <v>93</v>
      </c>
      <c r="AD74">
        <v>92</v>
      </c>
      <c r="AE74">
        <v>91</v>
      </c>
      <c r="AF74">
        <v>90</v>
      </c>
      <c r="AG74">
        <v>89</v>
      </c>
      <c r="AH74">
        <v>88</v>
      </c>
      <c r="AI74">
        <v>87</v>
      </c>
      <c r="AJ74">
        <v>86</v>
      </c>
      <c r="AK74">
        <v>85</v>
      </c>
      <c r="AL74">
        <v>84</v>
      </c>
      <c r="AM74">
        <v>83</v>
      </c>
      <c r="AN74">
        <v>82</v>
      </c>
      <c r="AO74">
        <v>81</v>
      </c>
      <c r="AP74">
        <v>80</v>
      </c>
      <c r="AQ74">
        <v>79</v>
      </c>
      <c r="AR74">
        <v>78</v>
      </c>
      <c r="AS74">
        <v>77</v>
      </c>
      <c r="AT74">
        <v>76</v>
      </c>
      <c r="AU74">
        <v>75</v>
      </c>
      <c r="AV74">
        <v>74</v>
      </c>
      <c r="AW74">
        <v>73</v>
      </c>
      <c r="AX74">
        <v>72</v>
      </c>
      <c r="AY74">
        <v>71</v>
      </c>
      <c r="AZ74">
        <v>70</v>
      </c>
      <c r="BA74">
        <v>69</v>
      </c>
      <c r="BB74">
        <v>68</v>
      </c>
      <c r="BC74">
        <v>67</v>
      </c>
      <c r="BD74">
        <v>66</v>
      </c>
      <c r="BE74">
        <v>65</v>
      </c>
      <c r="BF74">
        <v>64</v>
      </c>
      <c r="BG74">
        <v>63</v>
      </c>
      <c r="BH74">
        <v>62</v>
      </c>
      <c r="BI74">
        <v>61</v>
      </c>
      <c r="BJ74">
        <v>60</v>
      </c>
      <c r="BK74">
        <v>59</v>
      </c>
      <c r="BL74">
        <v>58</v>
      </c>
      <c r="BM74">
        <v>57</v>
      </c>
      <c r="BN74">
        <v>56</v>
      </c>
      <c r="BO74">
        <v>55</v>
      </c>
      <c r="BP74">
        <v>54</v>
      </c>
      <c r="BQ74">
        <v>53</v>
      </c>
      <c r="BR74">
        <v>52</v>
      </c>
      <c r="BS74">
        <v>51</v>
      </c>
      <c r="BT74">
        <v>50</v>
      </c>
      <c r="BU74">
        <v>49</v>
      </c>
      <c r="BV74">
        <v>48</v>
      </c>
      <c r="BW74">
        <v>47</v>
      </c>
      <c r="BX74">
        <v>46</v>
      </c>
      <c r="BY74">
        <v>45</v>
      </c>
      <c r="BZ74">
        <v>44</v>
      </c>
      <c r="CA74">
        <v>43</v>
      </c>
      <c r="CB74">
        <v>42</v>
      </c>
      <c r="CC74">
        <v>41</v>
      </c>
      <c r="CD74">
        <v>40</v>
      </c>
      <c r="CE74">
        <v>39</v>
      </c>
      <c r="CF74">
        <v>38</v>
      </c>
      <c r="CG74">
        <v>37</v>
      </c>
      <c r="CH74">
        <v>36</v>
      </c>
      <c r="CI74">
        <v>35</v>
      </c>
      <c r="CJ74">
        <v>34</v>
      </c>
      <c r="CK74">
        <v>33</v>
      </c>
      <c r="CL74">
        <v>32</v>
      </c>
      <c r="CM74">
        <v>31</v>
      </c>
      <c r="CN74">
        <v>30</v>
      </c>
      <c r="CO74">
        <v>29</v>
      </c>
      <c r="CP74">
        <v>28</v>
      </c>
      <c r="CQ74">
        <v>27</v>
      </c>
      <c r="CR74">
        <v>26</v>
      </c>
      <c r="CS74">
        <v>25</v>
      </c>
      <c r="CT74">
        <v>24</v>
      </c>
      <c r="CU74">
        <v>23</v>
      </c>
      <c r="CV74">
        <v>22</v>
      </c>
      <c r="CW74">
        <v>21</v>
      </c>
      <c r="CX74">
        <v>20</v>
      </c>
      <c r="CY74">
        <v>19</v>
      </c>
      <c r="CZ74">
        <v>18</v>
      </c>
      <c r="DA74">
        <v>17</v>
      </c>
      <c r="DB74">
        <v>16</v>
      </c>
      <c r="DC74">
        <v>15</v>
      </c>
      <c r="DD74">
        <v>14</v>
      </c>
      <c r="DE74">
        <v>13</v>
      </c>
      <c r="DF74">
        <v>12</v>
      </c>
      <c r="DG74">
        <v>11</v>
      </c>
      <c r="DH74">
        <v>10</v>
      </c>
      <c r="DI74">
        <v>9</v>
      </c>
      <c r="DJ74">
        <v>8</v>
      </c>
      <c r="DK74">
        <v>7</v>
      </c>
      <c r="DL74">
        <v>6</v>
      </c>
      <c r="DM74">
        <v>5</v>
      </c>
      <c r="DN74">
        <v>4</v>
      </c>
      <c r="DO74">
        <v>3</v>
      </c>
      <c r="DP74">
        <v>2</v>
      </c>
      <c r="DQ74">
        <v>1</v>
      </c>
    </row>
    <row r="75" spans="20:121" x14ac:dyDescent="0.25">
      <c r="U75" t="e">
        <f>U71&amp;U73</f>
        <v>#NUM!</v>
      </c>
      <c r="V75" t="e">
        <f>V71&amp;V73</f>
        <v>#NUM!</v>
      </c>
      <c r="W75" t="e">
        <f t="shared" ref="W75:CH75" si="29">W71&amp;W73</f>
        <v>#NUM!</v>
      </c>
      <c r="X75" t="e">
        <f t="shared" si="29"/>
        <v>#NUM!</v>
      </c>
      <c r="Y75" t="e">
        <f t="shared" si="29"/>
        <v>#NUM!</v>
      </c>
      <c r="Z75" t="e">
        <f t="shared" si="29"/>
        <v>#NUM!</v>
      </c>
      <c r="AA75" t="e">
        <f t="shared" si="29"/>
        <v>#NUM!</v>
      </c>
      <c r="AB75" t="e">
        <f t="shared" si="29"/>
        <v>#NUM!</v>
      </c>
      <c r="AC75" t="e">
        <f t="shared" si="29"/>
        <v>#NUM!</v>
      </c>
      <c r="AD75" t="e">
        <f t="shared" si="29"/>
        <v>#NUM!</v>
      </c>
      <c r="AE75" t="e">
        <f t="shared" si="29"/>
        <v>#NUM!</v>
      </c>
      <c r="AF75" t="e">
        <f t="shared" si="29"/>
        <v>#NUM!</v>
      </c>
      <c r="AG75" t="e">
        <f t="shared" si="29"/>
        <v>#NUM!</v>
      </c>
      <c r="AH75" t="e">
        <f t="shared" si="29"/>
        <v>#NUM!</v>
      </c>
      <c r="AI75" t="e">
        <f t="shared" si="29"/>
        <v>#NUM!</v>
      </c>
      <c r="AJ75" t="e">
        <f t="shared" si="29"/>
        <v>#NUM!</v>
      </c>
      <c r="AK75" t="e">
        <f t="shared" si="29"/>
        <v>#NUM!</v>
      </c>
      <c r="AL75" t="e">
        <f t="shared" si="29"/>
        <v>#NUM!</v>
      </c>
      <c r="AM75" t="e">
        <f t="shared" si="29"/>
        <v>#NUM!</v>
      </c>
      <c r="AN75" t="e">
        <f t="shared" si="29"/>
        <v>#NUM!</v>
      </c>
      <c r="AO75" t="e">
        <f t="shared" si="29"/>
        <v>#NUM!</v>
      </c>
      <c r="AP75" t="e">
        <f t="shared" si="29"/>
        <v>#NUM!</v>
      </c>
      <c r="AQ75" t="e">
        <f t="shared" si="29"/>
        <v>#NUM!</v>
      </c>
      <c r="AR75" t="e">
        <f t="shared" si="29"/>
        <v>#NUM!</v>
      </c>
      <c r="AS75" t="e">
        <f t="shared" si="29"/>
        <v>#NUM!</v>
      </c>
      <c r="AT75" t="e">
        <f t="shared" si="29"/>
        <v>#NUM!</v>
      </c>
      <c r="AU75" t="e">
        <f t="shared" si="29"/>
        <v>#NUM!</v>
      </c>
      <c r="AV75" t="e">
        <f t="shared" si="29"/>
        <v>#NUM!</v>
      </c>
      <c r="AW75" t="e">
        <f t="shared" si="29"/>
        <v>#NUM!</v>
      </c>
      <c r="AX75" t="e">
        <f t="shared" si="29"/>
        <v>#NUM!</v>
      </c>
      <c r="AY75" t="e">
        <f t="shared" si="29"/>
        <v>#NUM!</v>
      </c>
      <c r="AZ75" t="e">
        <f t="shared" si="29"/>
        <v>#NUM!</v>
      </c>
      <c r="BA75" t="e">
        <f t="shared" si="29"/>
        <v>#NUM!</v>
      </c>
      <c r="BB75" t="e">
        <f t="shared" si="29"/>
        <v>#NUM!</v>
      </c>
      <c r="BC75" t="e">
        <f t="shared" si="29"/>
        <v>#NUM!</v>
      </c>
      <c r="BD75" t="e">
        <f t="shared" si="29"/>
        <v>#NUM!</v>
      </c>
      <c r="BE75" t="e">
        <f t="shared" si="29"/>
        <v>#NUM!</v>
      </c>
      <c r="BF75" t="e">
        <f t="shared" si="29"/>
        <v>#NUM!</v>
      </c>
      <c r="BG75" t="e">
        <f t="shared" si="29"/>
        <v>#NUM!</v>
      </c>
      <c r="BH75" t="e">
        <f t="shared" si="29"/>
        <v>#NUM!</v>
      </c>
      <c r="BI75" t="e">
        <f t="shared" si="29"/>
        <v>#NUM!</v>
      </c>
      <c r="BJ75" t="e">
        <f t="shared" si="29"/>
        <v>#NUM!</v>
      </c>
      <c r="BK75" t="e">
        <f t="shared" si="29"/>
        <v>#NUM!</v>
      </c>
      <c r="BL75" t="e">
        <f t="shared" si="29"/>
        <v>#NUM!</v>
      </c>
      <c r="BM75" t="e">
        <f t="shared" si="29"/>
        <v>#NUM!</v>
      </c>
      <c r="BN75" t="e">
        <f t="shared" si="29"/>
        <v>#NUM!</v>
      </c>
      <c r="BO75" t="e">
        <f t="shared" si="29"/>
        <v>#NUM!</v>
      </c>
      <c r="BP75" t="e">
        <f t="shared" si="29"/>
        <v>#NUM!</v>
      </c>
      <c r="BQ75" t="e">
        <f t="shared" si="29"/>
        <v>#NUM!</v>
      </c>
      <c r="BR75" t="e">
        <f t="shared" si="29"/>
        <v>#NUM!</v>
      </c>
      <c r="BS75" t="e">
        <f t="shared" si="29"/>
        <v>#NUM!</v>
      </c>
      <c r="BT75" t="e">
        <f t="shared" si="29"/>
        <v>#NUM!</v>
      </c>
      <c r="BU75" t="e">
        <f t="shared" si="29"/>
        <v>#NUM!</v>
      </c>
      <c r="BV75" t="e">
        <f t="shared" si="29"/>
        <v>#NUM!</v>
      </c>
      <c r="BW75" t="e">
        <f t="shared" si="29"/>
        <v>#NUM!</v>
      </c>
      <c r="BX75" t="e">
        <f t="shared" si="29"/>
        <v>#NUM!</v>
      </c>
      <c r="BY75" t="e">
        <f t="shared" si="29"/>
        <v>#NUM!</v>
      </c>
      <c r="BZ75" t="e">
        <f t="shared" si="29"/>
        <v>#NUM!</v>
      </c>
      <c r="CA75" t="e">
        <f t="shared" si="29"/>
        <v>#NUM!</v>
      </c>
      <c r="CB75" t="e">
        <f t="shared" si="29"/>
        <v>#NUM!</v>
      </c>
      <c r="CC75" t="e">
        <f t="shared" si="29"/>
        <v>#NUM!</v>
      </c>
      <c r="CD75" t="e">
        <f t="shared" si="29"/>
        <v>#NUM!</v>
      </c>
      <c r="CE75" t="e">
        <f t="shared" si="29"/>
        <v>#NUM!</v>
      </c>
      <c r="CF75" t="e">
        <f t="shared" si="29"/>
        <v>#NUM!</v>
      </c>
      <c r="CG75" t="e">
        <f t="shared" si="29"/>
        <v>#NUM!</v>
      </c>
      <c r="CH75" t="e">
        <f t="shared" si="29"/>
        <v>#NUM!</v>
      </c>
      <c r="CI75" t="e">
        <f t="shared" ref="CI75:DP75" si="30">CI71&amp;CI73</f>
        <v>#NUM!</v>
      </c>
      <c r="CJ75" t="e">
        <f t="shared" si="30"/>
        <v>#NUM!</v>
      </c>
      <c r="CK75" t="e">
        <f t="shared" si="30"/>
        <v>#NUM!</v>
      </c>
      <c r="CL75" t="e">
        <f t="shared" si="30"/>
        <v>#NUM!</v>
      </c>
      <c r="CM75" t="e">
        <f t="shared" si="30"/>
        <v>#NUM!</v>
      </c>
      <c r="CN75" t="e">
        <f t="shared" si="30"/>
        <v>#NUM!</v>
      </c>
      <c r="CO75" t="e">
        <f t="shared" si="30"/>
        <v>#NUM!</v>
      </c>
      <c r="CP75" t="e">
        <f t="shared" si="30"/>
        <v>#NUM!</v>
      </c>
      <c r="CQ75" t="e">
        <f t="shared" si="30"/>
        <v>#NUM!</v>
      </c>
      <c r="CR75" t="e">
        <f t="shared" si="30"/>
        <v>#NUM!</v>
      </c>
      <c r="CS75" t="e">
        <f t="shared" si="30"/>
        <v>#NUM!</v>
      </c>
      <c r="CT75" t="e">
        <f t="shared" si="30"/>
        <v>#NUM!</v>
      </c>
      <c r="CU75" t="e">
        <f t="shared" si="30"/>
        <v>#NUM!</v>
      </c>
      <c r="CV75" t="e">
        <f t="shared" si="30"/>
        <v>#NUM!</v>
      </c>
      <c r="CW75" t="e">
        <f t="shared" si="30"/>
        <v>#NUM!</v>
      </c>
      <c r="CX75" t="e">
        <f t="shared" si="30"/>
        <v>#NUM!</v>
      </c>
      <c r="CY75" t="e">
        <f t="shared" si="30"/>
        <v>#NUM!</v>
      </c>
      <c r="CZ75" t="e">
        <f t="shared" si="30"/>
        <v>#NUM!</v>
      </c>
      <c r="DA75" t="e">
        <f t="shared" si="30"/>
        <v>#NUM!</v>
      </c>
      <c r="DB75" t="e">
        <f t="shared" si="30"/>
        <v>#NUM!</v>
      </c>
      <c r="DC75" t="e">
        <f t="shared" si="30"/>
        <v>#NUM!</v>
      </c>
      <c r="DD75" t="e">
        <f t="shared" si="30"/>
        <v>#NUM!</v>
      </c>
      <c r="DE75" t="e">
        <f t="shared" si="30"/>
        <v>#NUM!</v>
      </c>
      <c r="DF75" t="e">
        <f t="shared" si="30"/>
        <v>#NUM!</v>
      </c>
      <c r="DG75" t="e">
        <f t="shared" si="30"/>
        <v>#NUM!</v>
      </c>
      <c r="DH75" t="e">
        <f t="shared" si="30"/>
        <v>#NUM!</v>
      </c>
      <c r="DI75" t="e">
        <f t="shared" si="30"/>
        <v>#NUM!</v>
      </c>
      <c r="DJ75" t="e">
        <f t="shared" si="30"/>
        <v>#NUM!</v>
      </c>
      <c r="DK75" t="e">
        <f t="shared" si="30"/>
        <v>#NUM!</v>
      </c>
      <c r="DL75" t="e">
        <f t="shared" si="30"/>
        <v>#NUM!</v>
      </c>
      <c r="DM75" t="e">
        <f t="shared" si="30"/>
        <v>#NUM!</v>
      </c>
      <c r="DN75" t="e">
        <f t="shared" si="30"/>
        <v>#NUM!</v>
      </c>
      <c r="DO75" t="e">
        <f t="shared" si="30"/>
        <v>#NUM!</v>
      </c>
      <c r="DP75" t="e">
        <f t="shared" si="30"/>
        <v>#NUM!</v>
      </c>
    </row>
  </sheetData>
  <mergeCells count="1">
    <mergeCell ref="F5:F10"/>
  </mergeCells>
  <conditionalFormatting sqref="V23">
    <cfRule type="cellIs" dxfId="2" priority="1" operator="equal">
      <formula>$V$22</formula>
    </cfRule>
  </conditionalFormatting>
  <pageMargins left="0.7" right="0.7" top="0.75" bottom="0.75" header="0.3" footer="0.3"/>
  <pageSetup paperSize="21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Q75"/>
  <sheetViews>
    <sheetView topLeftCell="B1" workbookViewId="0">
      <selection activeCell="T17" sqref="T17"/>
    </sheetView>
  </sheetViews>
  <sheetFormatPr defaultRowHeight="15" x14ac:dyDescent="0.25"/>
  <cols>
    <col min="1" max="1" width="3.42578125" customWidth="1"/>
    <col min="19" max="19" width="13.7109375" customWidth="1"/>
    <col min="21" max="21" width="13.28515625" customWidth="1"/>
    <col min="24" max="24" width="9.140625" customWidth="1"/>
    <col min="26" max="26" width="9.140625" customWidth="1"/>
  </cols>
  <sheetData>
    <row r="2" spans="2:30" x14ac:dyDescent="0.25">
      <c r="B2" s="15" t="s">
        <v>14</v>
      </c>
      <c r="C2" s="7"/>
      <c r="D2" s="7"/>
      <c r="E2" s="7"/>
      <c r="F2" s="7"/>
      <c r="G2" s="7"/>
      <c r="H2" s="7"/>
      <c r="I2" s="7"/>
      <c r="J2" s="7"/>
    </row>
    <row r="3" spans="2:30" x14ac:dyDescent="0.25">
      <c r="B3" s="7"/>
      <c r="C3" s="7"/>
      <c r="D3" s="7"/>
      <c r="E3" s="7"/>
      <c r="F3" s="7"/>
      <c r="G3" s="7"/>
      <c r="H3" s="7"/>
      <c r="I3" s="7"/>
      <c r="J3" s="7"/>
    </row>
    <row r="4" spans="2:30" ht="15.75" thickBot="1" x14ac:dyDescent="0.3">
      <c r="B4" s="10" t="s">
        <v>4</v>
      </c>
      <c r="C4" s="7"/>
      <c r="D4" s="7"/>
      <c r="E4" s="7"/>
      <c r="F4" s="7"/>
      <c r="G4" s="7"/>
      <c r="H4" s="7"/>
      <c r="I4" s="7"/>
      <c r="J4" s="7"/>
    </row>
    <row r="5" spans="2:30" ht="15.75" thickBot="1" x14ac:dyDescent="0.3">
      <c r="B5" s="6" t="s">
        <v>54</v>
      </c>
      <c r="C5" s="7"/>
      <c r="D5" s="7"/>
      <c r="E5" s="7"/>
      <c r="F5" s="229" t="s">
        <v>60</v>
      </c>
      <c r="G5" s="7" t="s">
        <v>38</v>
      </c>
      <c r="H5" s="7"/>
      <c r="I5" s="7"/>
      <c r="J5" s="11">
        <f>O28</f>
        <v>1</v>
      </c>
      <c r="N5" t="s">
        <v>63</v>
      </c>
      <c r="O5" s="60">
        <f>'Range Check'!L6</f>
        <v>0</v>
      </c>
      <c r="V5">
        <v>0.24830251131688591</v>
      </c>
    </row>
    <row r="6" spans="2:30" ht="15.75" thickBot="1" x14ac:dyDescent="0.3">
      <c r="B6" s="7" t="s">
        <v>57</v>
      </c>
      <c r="C6" s="7"/>
      <c r="D6" s="11">
        <f>O11</f>
        <v>10</v>
      </c>
      <c r="E6" s="7"/>
      <c r="F6" s="229"/>
      <c r="G6" s="7" t="s">
        <v>49</v>
      </c>
      <c r="H6" s="7"/>
      <c r="I6" s="7"/>
      <c r="J6" s="11">
        <f t="shared" ref="J6:J22" si="0">O29</f>
        <v>0</v>
      </c>
    </row>
    <row r="7" spans="2:30" ht="15.75" thickBot="1" x14ac:dyDescent="0.3">
      <c r="B7" s="7"/>
      <c r="C7" s="7"/>
      <c r="D7" s="7"/>
      <c r="E7" s="7"/>
      <c r="F7" s="229"/>
      <c r="G7" s="7" t="s">
        <v>52</v>
      </c>
      <c r="H7" s="7"/>
      <c r="I7" s="7"/>
      <c r="J7" s="11">
        <f t="shared" si="0"/>
        <v>0</v>
      </c>
    </row>
    <row r="8" spans="2:30" ht="15.75" thickBot="1" x14ac:dyDescent="0.3">
      <c r="B8" s="6" t="s">
        <v>55</v>
      </c>
      <c r="C8" s="7"/>
      <c r="D8" s="7"/>
      <c r="E8" s="7"/>
      <c r="F8" s="229"/>
      <c r="G8" s="7" t="s">
        <v>51</v>
      </c>
      <c r="H8" s="7"/>
      <c r="I8" s="7"/>
      <c r="J8" s="11">
        <f t="shared" si="0"/>
        <v>0</v>
      </c>
    </row>
    <row r="9" spans="2:30" ht="15.75" thickBot="1" x14ac:dyDescent="0.3">
      <c r="B9" s="7" t="s">
        <v>15</v>
      </c>
      <c r="C9" s="7"/>
      <c r="D9" s="11">
        <f>O14</f>
        <v>2</v>
      </c>
      <c r="E9" s="7"/>
      <c r="F9" s="229"/>
      <c r="G9" s="7" t="s">
        <v>50</v>
      </c>
      <c r="H9" s="7"/>
      <c r="I9" s="7"/>
      <c r="J9" s="11">
        <f t="shared" si="0"/>
        <v>0</v>
      </c>
    </row>
    <row r="10" spans="2:30" ht="15.75" thickBot="1" x14ac:dyDescent="0.3">
      <c r="B10" s="7" t="s">
        <v>17</v>
      </c>
      <c r="C10" s="7"/>
      <c r="D10" s="11">
        <f>O15</f>
        <v>3</v>
      </c>
      <c r="E10" s="7"/>
      <c r="F10" s="229"/>
      <c r="G10" s="7" t="s">
        <v>46</v>
      </c>
      <c r="H10" s="7"/>
      <c r="I10" s="7"/>
      <c r="J10" s="11">
        <f t="shared" si="0"/>
        <v>1</v>
      </c>
      <c r="M10" s="6" t="s">
        <v>54</v>
      </c>
      <c r="N10" s="7"/>
      <c r="O10" s="7"/>
    </row>
    <row r="11" spans="2:30" ht="15.75" thickBot="1" x14ac:dyDescent="0.3">
      <c r="B11" s="7" t="s">
        <v>19</v>
      </c>
      <c r="C11" s="7"/>
      <c r="D11" s="11">
        <f>O16</f>
        <v>5</v>
      </c>
      <c r="E11" s="7"/>
      <c r="F11" s="7"/>
      <c r="G11" s="7" t="s">
        <v>40</v>
      </c>
      <c r="H11" s="7"/>
      <c r="I11" s="7"/>
      <c r="J11" s="11">
        <f t="shared" si="0"/>
        <v>1</v>
      </c>
      <c r="M11" s="7" t="s">
        <v>57</v>
      </c>
      <c r="N11" s="7"/>
      <c r="O11">
        <f>IF(ROUND(O5*V5,0)&lt;10,10,ROUND(O5*V5,0))</f>
        <v>10</v>
      </c>
    </row>
    <row r="12" spans="2:30" ht="15.75" thickBot="1" x14ac:dyDescent="0.3">
      <c r="B12" s="7"/>
      <c r="C12" s="7"/>
      <c r="D12" s="7"/>
      <c r="E12" s="7"/>
      <c r="F12" s="7"/>
      <c r="G12" s="7" t="s">
        <v>41</v>
      </c>
      <c r="H12" s="7"/>
      <c r="I12" s="7"/>
      <c r="J12" s="11">
        <f t="shared" si="0"/>
        <v>1</v>
      </c>
      <c r="M12" s="7"/>
      <c r="N12" s="7"/>
      <c r="O12" s="7"/>
    </row>
    <row r="13" spans="2:30" ht="15.75" thickBot="1" x14ac:dyDescent="0.3">
      <c r="B13" s="6" t="s">
        <v>56</v>
      </c>
      <c r="C13" s="7"/>
      <c r="D13" s="7"/>
      <c r="E13" s="7"/>
      <c r="F13" s="7"/>
      <c r="G13" s="7" t="s">
        <v>48</v>
      </c>
      <c r="H13" s="7"/>
      <c r="I13" s="7"/>
      <c r="J13" s="11">
        <f t="shared" si="0"/>
        <v>0</v>
      </c>
      <c r="M13" s="6" t="s">
        <v>55</v>
      </c>
      <c r="N13" s="7"/>
      <c r="O13" s="7"/>
      <c r="W13" s="12"/>
    </row>
    <row r="14" spans="2:30" ht="15.75" thickBot="1" x14ac:dyDescent="0.3">
      <c r="B14" s="7" t="s">
        <v>22</v>
      </c>
      <c r="C14" s="7"/>
      <c r="D14" s="11">
        <f t="shared" ref="D14:D19" si="1">O19</f>
        <v>3</v>
      </c>
      <c r="E14" s="7"/>
      <c r="F14" s="7"/>
      <c r="G14" s="7" t="s">
        <v>47</v>
      </c>
      <c r="H14" s="7"/>
      <c r="I14" s="7"/>
      <c r="J14" s="11">
        <f t="shared" si="0"/>
        <v>0</v>
      </c>
      <c r="M14" s="7" t="s">
        <v>15</v>
      </c>
      <c r="N14" s="7"/>
      <c r="O14" s="7">
        <f>IF(SUM($P$14:$P$16)&gt;$O$11,IF(T14=MAX($T$14:$T$16),P14-1,P14),P14)</f>
        <v>2</v>
      </c>
      <c r="P14">
        <f>ROUND(IF(ROUND($O$11*0.12,1)&lt;2,2,2+((ROUND($O$11*0.12,1))-2)),0)</f>
        <v>2</v>
      </c>
      <c r="R14">
        <v>0.11</v>
      </c>
      <c r="S14" s="126"/>
      <c r="T14" s="128">
        <f>IF(($O$11*0.11)&lt;2,2,(2+($O$11*0.11)-2))-2</f>
        <v>0</v>
      </c>
      <c r="W14" s="12"/>
    </row>
    <row r="15" spans="2:30" ht="15.75" thickBot="1" x14ac:dyDescent="0.3">
      <c r="B15" s="7" t="s">
        <v>23</v>
      </c>
      <c r="C15" s="7"/>
      <c r="D15" s="11">
        <f t="shared" si="1"/>
        <v>2</v>
      </c>
      <c r="E15" s="7"/>
      <c r="F15" s="7"/>
      <c r="G15" s="7" t="s">
        <v>39</v>
      </c>
      <c r="H15" s="7"/>
      <c r="I15" s="7"/>
      <c r="J15" s="11">
        <f t="shared" si="0"/>
        <v>0</v>
      </c>
      <c r="M15" s="7" t="s">
        <v>17</v>
      </c>
      <c r="N15" s="7"/>
      <c r="O15" s="7">
        <f t="shared" ref="O15:O16" si="2">IF(SUM($P$14:$P$16)&gt;$O$11,IF(T15=MAX($T$14:$T$16),P15-1,P15),P15)</f>
        <v>3</v>
      </c>
      <c r="P15">
        <f>ROUND(IF(ROUND($O$11*0.34,1)&lt;3,3,3+((ROUND($O$11*0.34,1))-3)),0)</f>
        <v>3</v>
      </c>
      <c r="R15">
        <v>0.33</v>
      </c>
      <c r="S15" s="126"/>
      <c r="T15" s="128">
        <f>IF(($O$11*0.33)&lt;3,3,(3+($O$11*0.33)-3))-3</f>
        <v>0.30000000000000071</v>
      </c>
      <c r="W15" s="12"/>
      <c r="AC15" s="1"/>
      <c r="AD15" s="1"/>
    </row>
    <row r="16" spans="2:30" ht="15.75" thickBot="1" x14ac:dyDescent="0.3">
      <c r="B16" s="7" t="s">
        <v>24</v>
      </c>
      <c r="C16" s="7"/>
      <c r="D16" s="11">
        <f t="shared" si="1"/>
        <v>0</v>
      </c>
      <c r="E16" s="7"/>
      <c r="F16" s="7"/>
      <c r="G16" s="7" t="s">
        <v>37</v>
      </c>
      <c r="H16" s="7"/>
      <c r="I16" s="7"/>
      <c r="J16" s="11">
        <f t="shared" si="0"/>
        <v>1</v>
      </c>
      <c r="M16" s="7" t="s">
        <v>19</v>
      </c>
      <c r="N16" s="7"/>
      <c r="O16" s="7">
        <f t="shared" si="2"/>
        <v>5</v>
      </c>
      <c r="P16">
        <f>ROUND(IF(ROUND($O$11*0.56,1)&lt;5,5,5+((ROUND($O$11*0.56,1))-5)),0)</f>
        <v>6</v>
      </c>
      <c r="R16">
        <v>0.56000000000000005</v>
      </c>
      <c r="S16" s="126"/>
      <c r="T16" s="128">
        <f>IF(($O$11*0.56)&lt;5,5,(5+($O$11*0.56)-5))-5</f>
        <v>0.60000000000000142</v>
      </c>
      <c r="W16" s="61"/>
      <c r="AC16" s="1"/>
      <c r="AD16" s="1"/>
    </row>
    <row r="17" spans="2:30" ht="15.75" thickBot="1" x14ac:dyDescent="0.3">
      <c r="B17" s="7" t="s">
        <v>25</v>
      </c>
      <c r="C17" s="7"/>
      <c r="D17" s="11">
        <f t="shared" si="1"/>
        <v>1</v>
      </c>
      <c r="E17" s="7"/>
      <c r="F17" s="7"/>
      <c r="G17" s="7" t="s">
        <v>36</v>
      </c>
      <c r="H17" s="7"/>
      <c r="I17" s="7"/>
      <c r="J17" s="11">
        <f t="shared" si="0"/>
        <v>1</v>
      </c>
      <c r="M17" s="7"/>
      <c r="N17" s="7"/>
      <c r="O17" s="7"/>
      <c r="AC17" s="1"/>
      <c r="AD17" s="1"/>
    </row>
    <row r="18" spans="2:30" ht="15.75" thickBot="1" x14ac:dyDescent="0.3">
      <c r="B18" s="7" t="s">
        <v>26</v>
      </c>
      <c r="C18" s="7"/>
      <c r="D18" s="11">
        <f t="shared" si="1"/>
        <v>1</v>
      </c>
      <c r="E18" s="7"/>
      <c r="F18" s="7"/>
      <c r="G18" s="7" t="s">
        <v>43</v>
      </c>
      <c r="H18" s="7"/>
      <c r="I18" s="7"/>
      <c r="J18" s="11">
        <f t="shared" si="0"/>
        <v>1</v>
      </c>
      <c r="M18" s="6" t="s">
        <v>56</v>
      </c>
      <c r="N18" s="7"/>
      <c r="O18" s="7"/>
      <c r="AC18" s="1"/>
      <c r="AD18" s="1"/>
    </row>
    <row r="19" spans="2:30" ht="15.75" thickBot="1" x14ac:dyDescent="0.3">
      <c r="B19" s="7" t="s">
        <v>27</v>
      </c>
      <c r="C19" s="7"/>
      <c r="D19" s="11">
        <f t="shared" si="1"/>
        <v>3</v>
      </c>
      <c r="E19" s="7"/>
      <c r="F19" s="7"/>
      <c r="G19" s="7" t="s">
        <v>44</v>
      </c>
      <c r="H19" s="7"/>
      <c r="I19" s="7"/>
      <c r="J19" s="11">
        <f t="shared" si="0"/>
        <v>0</v>
      </c>
      <c r="M19" s="7" t="s">
        <v>22</v>
      </c>
      <c r="N19" s="7"/>
      <c r="O19" s="1">
        <f t="shared" ref="O19:O24" si="3">IF($V$22=($V$23+2),IF(T19=MAX($T$19:$T$24),T19-2,T19),IF($V$22=$V$23,T19,IF($V$22&lt;$V$23,IF(S19=LARGE($S$19:$S$24,2),T19+1,T19),IF($V$22&gt;$V$23,IF(T19=MAX($T$19:$T$24),T19-1,T19),IF($V$22=$V$23,T19,IF($V$22&lt;$V$23,IF(S19=LARGE($S$19:$S$24,2),T19+1,T19),"S"))))))</f>
        <v>3</v>
      </c>
      <c r="Q19">
        <v>3</v>
      </c>
      <c r="R19">
        <v>0.41692081780187501</v>
      </c>
      <c r="S19">
        <f t="shared" ref="S19:S24" si="4">($O$11-10)*R19-ROUNDDOWN(($O$11-10)*R19,0)</f>
        <v>0</v>
      </c>
      <c r="T19">
        <f t="shared" ref="T19:T24" si="5">IF(($O$11-10)*R19-ROUNDDOWN(($O$11-10)*R19,0)&gt;0.49,1,0)+ROUNDDOWN(($O$11-10)*R19,0)+Q19</f>
        <v>3</v>
      </c>
      <c r="AC19" s="1"/>
      <c r="AD19" s="1"/>
    </row>
    <row r="20" spans="2:30" ht="15.75" thickBot="1" x14ac:dyDescent="0.3">
      <c r="B20" s="7"/>
      <c r="C20" s="7"/>
      <c r="D20" s="7"/>
      <c r="E20" s="7"/>
      <c r="F20" s="7"/>
      <c r="G20" s="7" t="s">
        <v>45</v>
      </c>
      <c r="H20" s="7"/>
      <c r="I20" s="7"/>
      <c r="J20" s="11">
        <f t="shared" si="0"/>
        <v>1</v>
      </c>
      <c r="M20" s="7" t="s">
        <v>23</v>
      </c>
      <c r="N20" s="7"/>
      <c r="O20" s="1">
        <f t="shared" si="3"/>
        <v>2</v>
      </c>
      <c r="Q20">
        <v>2</v>
      </c>
      <c r="R20">
        <v>0.18400542189088445</v>
      </c>
      <c r="S20">
        <f t="shared" si="4"/>
        <v>0</v>
      </c>
      <c r="T20">
        <f t="shared" si="5"/>
        <v>2</v>
      </c>
      <c r="AC20" s="1"/>
      <c r="AD20" s="1"/>
    </row>
    <row r="21" spans="2:30" ht="15.75" thickBot="1" x14ac:dyDescent="0.3">
      <c r="B21" s="7"/>
      <c r="C21" s="7"/>
      <c r="D21" s="7"/>
      <c r="E21" s="7"/>
      <c r="F21" s="12"/>
      <c r="G21" s="12" t="s">
        <v>35</v>
      </c>
      <c r="H21" s="12"/>
      <c r="I21" s="7"/>
      <c r="J21" s="11">
        <f t="shared" si="0"/>
        <v>1</v>
      </c>
      <c r="M21" s="7" t="s">
        <v>24</v>
      </c>
      <c r="N21" s="7"/>
      <c r="O21" s="1">
        <f t="shared" si="3"/>
        <v>0</v>
      </c>
      <c r="Q21">
        <v>0</v>
      </c>
      <c r="R21">
        <v>2.9933355924545345E-2</v>
      </c>
      <c r="S21">
        <f t="shared" si="4"/>
        <v>0</v>
      </c>
      <c r="T21">
        <f t="shared" si="5"/>
        <v>0</v>
      </c>
      <c r="AC21" s="1"/>
      <c r="AD21" s="1"/>
    </row>
    <row r="22" spans="2:30" ht="15.75" thickBot="1" x14ac:dyDescent="0.3">
      <c r="B22" s="7"/>
      <c r="C22" s="7"/>
      <c r="D22" s="7"/>
      <c r="E22" s="7"/>
      <c r="F22" s="7"/>
      <c r="G22" s="7" t="s">
        <v>42</v>
      </c>
      <c r="H22" s="7"/>
      <c r="I22" s="7"/>
      <c r="J22" s="11">
        <f t="shared" si="0"/>
        <v>1</v>
      </c>
      <c r="M22" s="7" t="s">
        <v>25</v>
      </c>
      <c r="N22" s="7"/>
      <c r="O22" s="1">
        <f t="shared" si="3"/>
        <v>1</v>
      </c>
      <c r="Q22">
        <v>1</v>
      </c>
      <c r="R22">
        <v>8.0650626906133491E-2</v>
      </c>
      <c r="S22">
        <f t="shared" si="4"/>
        <v>0</v>
      </c>
      <c r="T22">
        <f t="shared" si="5"/>
        <v>1</v>
      </c>
      <c r="V22">
        <f>SUM(T19:T24)</f>
        <v>10</v>
      </c>
      <c r="AC22" s="1"/>
      <c r="AD22" s="1"/>
    </row>
    <row r="23" spans="2:30" x14ac:dyDescent="0.25">
      <c r="B23" s="9"/>
      <c r="C23" s="9"/>
      <c r="D23" s="9"/>
      <c r="E23" s="9"/>
      <c r="F23" s="9"/>
      <c r="G23" s="9"/>
      <c r="H23" s="9"/>
      <c r="I23" s="9"/>
      <c r="J23" s="9"/>
      <c r="M23" s="7" t="s">
        <v>26</v>
      </c>
      <c r="N23" s="7"/>
      <c r="O23" s="1">
        <f t="shared" si="3"/>
        <v>1</v>
      </c>
      <c r="Q23">
        <v>1</v>
      </c>
      <c r="R23">
        <v>6.5062690613351404E-2</v>
      </c>
      <c r="S23">
        <f t="shared" si="4"/>
        <v>0</v>
      </c>
      <c r="T23">
        <f t="shared" si="5"/>
        <v>1</v>
      </c>
      <c r="V23">
        <f>O11</f>
        <v>10</v>
      </c>
      <c r="AC23" s="1"/>
      <c r="AD23" s="1"/>
    </row>
    <row r="24" spans="2:30" x14ac:dyDescent="0.25">
      <c r="M24" s="7" t="s">
        <v>27</v>
      </c>
      <c r="N24" s="7"/>
      <c r="O24" s="1">
        <f t="shared" si="3"/>
        <v>3</v>
      </c>
      <c r="Q24">
        <v>3</v>
      </c>
      <c r="R24">
        <v>0.22342708686321017</v>
      </c>
      <c r="S24">
        <f t="shared" si="4"/>
        <v>0</v>
      </c>
      <c r="T24">
        <f t="shared" si="5"/>
        <v>3</v>
      </c>
      <c r="AC24" s="1"/>
      <c r="AD24" s="1"/>
    </row>
    <row r="25" spans="2:30" x14ac:dyDescent="0.25">
      <c r="M25" s="7"/>
      <c r="N25" s="7"/>
      <c r="O25" s="7"/>
      <c r="AC25" s="1"/>
      <c r="AD25" s="1"/>
    </row>
    <row r="26" spans="2:30" x14ac:dyDescent="0.25">
      <c r="AC26" s="1"/>
      <c r="AD26" s="1"/>
    </row>
    <row r="27" spans="2:30" ht="15.75" thickBot="1" x14ac:dyDescent="0.3"/>
    <row r="28" spans="2:30" ht="15.75" thickBot="1" x14ac:dyDescent="0.3">
      <c r="M28" s="7" t="s">
        <v>38</v>
      </c>
      <c r="N28" s="7"/>
      <c r="O28" s="7">
        <f>P28+Q28</f>
        <v>1</v>
      </c>
      <c r="P28" s="11">
        <v>1</v>
      </c>
      <c r="Q28">
        <f>COUNTIF($75:$75,M28)</f>
        <v>0</v>
      </c>
    </row>
    <row r="29" spans="2:30" ht="15.75" thickBot="1" x14ac:dyDescent="0.3">
      <c r="H29" t="s">
        <v>22</v>
      </c>
      <c r="I29">
        <v>0.46809623430962344</v>
      </c>
      <c r="M29" s="7" t="s">
        <v>49</v>
      </c>
      <c r="N29" s="7"/>
      <c r="O29" s="7">
        <f t="shared" ref="O29:O45" si="6">P29+Q29</f>
        <v>0</v>
      </c>
      <c r="P29" s="11">
        <v>0</v>
      </c>
      <c r="Q29">
        <f t="shared" ref="Q29:Q45" si="7">COUNTIF($75:$75,M29)</f>
        <v>0</v>
      </c>
    </row>
    <row r="30" spans="2:30" ht="15.75" thickBot="1" x14ac:dyDescent="0.3">
      <c r="H30" t="s">
        <v>23</v>
      </c>
      <c r="I30">
        <v>0.15324267782426781</v>
      </c>
      <c r="M30" s="7" t="s">
        <v>52</v>
      </c>
      <c r="N30" s="7"/>
      <c r="O30" s="7">
        <f t="shared" si="6"/>
        <v>0</v>
      </c>
      <c r="P30" s="11">
        <v>0</v>
      </c>
      <c r="Q30">
        <f t="shared" si="7"/>
        <v>0</v>
      </c>
    </row>
    <row r="31" spans="2:30" ht="15.75" thickBot="1" x14ac:dyDescent="0.3">
      <c r="H31" t="s">
        <v>24</v>
      </c>
      <c r="I31">
        <v>1.202928870292887E-2</v>
      </c>
      <c r="M31" s="7" t="s">
        <v>51</v>
      </c>
      <c r="N31" s="7"/>
      <c r="O31" s="7">
        <f t="shared" si="6"/>
        <v>0</v>
      </c>
      <c r="P31" s="11">
        <v>0</v>
      </c>
      <c r="Q31">
        <f t="shared" si="7"/>
        <v>0</v>
      </c>
    </row>
    <row r="32" spans="2:30" ht="15.75" thickBot="1" x14ac:dyDescent="0.3">
      <c r="H32" t="s">
        <v>25</v>
      </c>
      <c r="I32">
        <v>4.1317991631799167E-2</v>
      </c>
      <c r="M32" s="7" t="s">
        <v>50</v>
      </c>
      <c r="N32" s="7"/>
      <c r="O32" s="7">
        <f t="shared" si="6"/>
        <v>0</v>
      </c>
      <c r="P32" s="11">
        <v>0</v>
      </c>
      <c r="Q32">
        <f t="shared" si="7"/>
        <v>0</v>
      </c>
    </row>
    <row r="33" spans="8:17" ht="15.75" thickBot="1" x14ac:dyDescent="0.3">
      <c r="H33" t="s">
        <v>26</v>
      </c>
      <c r="I33">
        <v>1.4121338912133892E-2</v>
      </c>
      <c r="M33" s="7" t="s">
        <v>46</v>
      </c>
      <c r="N33" s="7"/>
      <c r="O33" s="7">
        <f t="shared" si="6"/>
        <v>1</v>
      </c>
      <c r="P33" s="11">
        <v>1</v>
      </c>
      <c r="Q33">
        <f t="shared" si="7"/>
        <v>0</v>
      </c>
    </row>
    <row r="34" spans="8:17" ht="15.75" thickBot="1" x14ac:dyDescent="0.3">
      <c r="H34" t="s">
        <v>27</v>
      </c>
      <c r="I34">
        <v>0.31119246861924688</v>
      </c>
      <c r="M34" s="7" t="s">
        <v>40</v>
      </c>
      <c r="N34" s="7"/>
      <c r="O34" s="7">
        <f t="shared" si="6"/>
        <v>1</v>
      </c>
      <c r="P34" s="11">
        <v>1</v>
      </c>
      <c r="Q34">
        <f t="shared" si="7"/>
        <v>0</v>
      </c>
    </row>
    <row r="35" spans="8:17" ht="15.75" thickBot="1" x14ac:dyDescent="0.3">
      <c r="M35" s="7" t="s">
        <v>41</v>
      </c>
      <c r="N35" s="7"/>
      <c r="O35" s="7">
        <f t="shared" si="6"/>
        <v>1</v>
      </c>
      <c r="P35" s="11">
        <v>1</v>
      </c>
      <c r="Q35">
        <f t="shared" si="7"/>
        <v>0</v>
      </c>
    </row>
    <row r="36" spans="8:17" ht="15.75" thickBot="1" x14ac:dyDescent="0.3">
      <c r="M36" s="7" t="s">
        <v>48</v>
      </c>
      <c r="N36" s="7"/>
      <c r="O36" s="7">
        <f t="shared" si="6"/>
        <v>0</v>
      </c>
      <c r="P36" s="11">
        <v>0</v>
      </c>
      <c r="Q36">
        <f t="shared" si="7"/>
        <v>0</v>
      </c>
    </row>
    <row r="37" spans="8:17" ht="15.75" thickBot="1" x14ac:dyDescent="0.3">
      <c r="M37" s="7" t="s">
        <v>47</v>
      </c>
      <c r="N37" s="7"/>
      <c r="O37" s="7">
        <f t="shared" si="6"/>
        <v>0</v>
      </c>
      <c r="P37" s="11">
        <v>0</v>
      </c>
      <c r="Q37">
        <f t="shared" si="7"/>
        <v>0</v>
      </c>
    </row>
    <row r="38" spans="8:17" ht="15.75" thickBot="1" x14ac:dyDescent="0.3">
      <c r="M38" s="7" t="s">
        <v>39</v>
      </c>
      <c r="N38" s="7"/>
      <c r="O38" s="7">
        <f t="shared" si="6"/>
        <v>0</v>
      </c>
      <c r="P38" s="11">
        <v>0</v>
      </c>
      <c r="Q38">
        <f t="shared" si="7"/>
        <v>0</v>
      </c>
    </row>
    <row r="39" spans="8:17" ht="15.75" thickBot="1" x14ac:dyDescent="0.3">
      <c r="M39" s="7" t="s">
        <v>37</v>
      </c>
      <c r="N39" s="7"/>
      <c r="O39" s="7">
        <f t="shared" si="6"/>
        <v>1</v>
      </c>
      <c r="P39" s="11">
        <v>1</v>
      </c>
      <c r="Q39">
        <f t="shared" si="7"/>
        <v>0</v>
      </c>
    </row>
    <row r="40" spans="8:17" ht="15.75" thickBot="1" x14ac:dyDescent="0.3">
      <c r="M40" s="7" t="s">
        <v>36</v>
      </c>
      <c r="N40" s="7"/>
      <c r="O40" s="7">
        <f t="shared" si="6"/>
        <v>1</v>
      </c>
      <c r="P40" s="11">
        <v>1</v>
      </c>
      <c r="Q40">
        <f t="shared" si="7"/>
        <v>0</v>
      </c>
    </row>
    <row r="41" spans="8:17" ht="15.75" thickBot="1" x14ac:dyDescent="0.3">
      <c r="M41" s="7" t="s">
        <v>43</v>
      </c>
      <c r="N41" s="7"/>
      <c r="O41" s="7">
        <f t="shared" si="6"/>
        <v>1</v>
      </c>
      <c r="P41" s="11">
        <v>1</v>
      </c>
      <c r="Q41">
        <f t="shared" si="7"/>
        <v>0</v>
      </c>
    </row>
    <row r="42" spans="8:17" ht="15.75" thickBot="1" x14ac:dyDescent="0.3">
      <c r="M42" s="7" t="s">
        <v>44</v>
      </c>
      <c r="N42" s="7"/>
      <c r="O42" s="7">
        <f t="shared" si="6"/>
        <v>0</v>
      </c>
      <c r="P42" s="11">
        <v>0</v>
      </c>
      <c r="Q42">
        <f t="shared" si="7"/>
        <v>0</v>
      </c>
    </row>
    <row r="43" spans="8:17" ht="15.75" thickBot="1" x14ac:dyDescent="0.3">
      <c r="M43" s="7" t="s">
        <v>45</v>
      </c>
      <c r="N43" s="7"/>
      <c r="O43" s="7">
        <f t="shared" si="6"/>
        <v>1</v>
      </c>
      <c r="P43" s="11">
        <v>1</v>
      </c>
      <c r="Q43">
        <f t="shared" si="7"/>
        <v>0</v>
      </c>
    </row>
    <row r="44" spans="8:17" ht="15.75" thickBot="1" x14ac:dyDescent="0.3">
      <c r="M44" s="12" t="s">
        <v>35</v>
      </c>
      <c r="N44" s="12"/>
      <c r="O44" s="7">
        <f t="shared" si="6"/>
        <v>1</v>
      </c>
      <c r="P44" s="11">
        <v>1</v>
      </c>
      <c r="Q44">
        <f t="shared" si="7"/>
        <v>0</v>
      </c>
    </row>
    <row r="45" spans="8:17" ht="15.75" thickBot="1" x14ac:dyDescent="0.3">
      <c r="M45" s="7" t="s">
        <v>42</v>
      </c>
      <c r="N45" s="7"/>
      <c r="O45" s="7">
        <f t="shared" si="6"/>
        <v>1</v>
      </c>
      <c r="P45" s="11">
        <v>1</v>
      </c>
      <c r="Q45">
        <f t="shared" si="7"/>
        <v>0</v>
      </c>
    </row>
    <row r="47" spans="8:17" x14ac:dyDescent="0.25">
      <c r="P47" t="s">
        <v>315</v>
      </c>
      <c r="Q47" t="s">
        <v>316</v>
      </c>
    </row>
    <row r="48" spans="8:17" x14ac:dyDescent="0.25">
      <c r="M48" s="7" t="s">
        <v>22</v>
      </c>
      <c r="N48">
        <v>3</v>
      </c>
      <c r="P48">
        <f>O19</f>
        <v>3</v>
      </c>
      <c r="Q48">
        <f>MAX(0,P48-N48)</f>
        <v>0</v>
      </c>
    </row>
    <row r="49" spans="13:121" x14ac:dyDescent="0.25">
      <c r="M49" s="7" t="s">
        <v>23</v>
      </c>
      <c r="N49">
        <v>2</v>
      </c>
      <c r="P49">
        <f t="shared" ref="P49:P53" si="8">O20</f>
        <v>2</v>
      </c>
      <c r="Q49">
        <f t="shared" ref="Q49:Q53" si="9">MAX(0,P49-N49)</f>
        <v>0</v>
      </c>
    </row>
    <row r="50" spans="13:121" x14ac:dyDescent="0.25">
      <c r="M50" s="7" t="s">
        <v>24</v>
      </c>
      <c r="N50">
        <v>0</v>
      </c>
      <c r="P50">
        <f t="shared" si="8"/>
        <v>0</v>
      </c>
      <c r="Q50">
        <f t="shared" si="9"/>
        <v>0</v>
      </c>
    </row>
    <row r="51" spans="13:121" x14ac:dyDescent="0.25">
      <c r="M51" s="7" t="s">
        <v>25</v>
      </c>
      <c r="N51">
        <v>1</v>
      </c>
      <c r="P51">
        <f t="shared" si="8"/>
        <v>1</v>
      </c>
      <c r="Q51">
        <f t="shared" si="9"/>
        <v>0</v>
      </c>
    </row>
    <row r="52" spans="13:121" x14ac:dyDescent="0.25">
      <c r="M52" s="7" t="s">
        <v>26</v>
      </c>
      <c r="N52">
        <v>1</v>
      </c>
      <c r="P52">
        <f t="shared" si="8"/>
        <v>1</v>
      </c>
      <c r="Q52">
        <f t="shared" si="9"/>
        <v>0</v>
      </c>
    </row>
    <row r="53" spans="13:121" x14ac:dyDescent="0.25">
      <c r="M53" s="7" t="s">
        <v>27</v>
      </c>
      <c r="N53">
        <v>3</v>
      </c>
      <c r="P53">
        <f t="shared" si="8"/>
        <v>3</v>
      </c>
      <c r="Q53">
        <f t="shared" si="9"/>
        <v>0</v>
      </c>
    </row>
    <row r="55" spans="13:121" x14ac:dyDescent="0.25">
      <c r="M55" t="s">
        <v>15</v>
      </c>
      <c r="N55">
        <v>2</v>
      </c>
      <c r="P55">
        <f>O14</f>
        <v>2</v>
      </c>
      <c r="Q55">
        <f t="shared" ref="Q55:Q57" si="10">MAX(0,P55-N55)</f>
        <v>0</v>
      </c>
    </row>
    <row r="56" spans="13:121" x14ac:dyDescent="0.25">
      <c r="M56" t="s">
        <v>17</v>
      </c>
      <c r="N56">
        <v>3</v>
      </c>
      <c r="P56">
        <f t="shared" ref="P56:P57" si="11">O15</f>
        <v>3</v>
      </c>
      <c r="Q56">
        <f t="shared" si="10"/>
        <v>0</v>
      </c>
    </row>
    <row r="57" spans="13:121" x14ac:dyDescent="0.25">
      <c r="M57" t="s">
        <v>19</v>
      </c>
      <c r="N57">
        <v>5</v>
      </c>
      <c r="P57">
        <f t="shared" si="11"/>
        <v>5</v>
      </c>
      <c r="Q57">
        <f t="shared" si="10"/>
        <v>0</v>
      </c>
    </row>
    <row r="59" spans="13:121" x14ac:dyDescent="0.25">
      <c r="T59" t="s">
        <v>22</v>
      </c>
      <c r="U59">
        <f>Q48</f>
        <v>0</v>
      </c>
      <c r="V59" t="e">
        <f>IF(U$71=$T59,U59-1,U59)</f>
        <v>#NUM!</v>
      </c>
      <c r="W59" t="e">
        <f>IF(V$71=$T59,V59-1,V59)</f>
        <v>#NUM!</v>
      </c>
      <c r="X59" t="e">
        <f t="shared" ref="X59:CI62" si="12">IF(W$71=$T59,W59-1,W59)</f>
        <v>#NUM!</v>
      </c>
      <c r="Y59" t="e">
        <f t="shared" si="12"/>
        <v>#NUM!</v>
      </c>
      <c r="Z59" t="e">
        <f t="shared" si="12"/>
        <v>#NUM!</v>
      </c>
      <c r="AA59" t="e">
        <f t="shared" si="12"/>
        <v>#NUM!</v>
      </c>
      <c r="AB59" t="e">
        <f t="shared" si="12"/>
        <v>#NUM!</v>
      </c>
      <c r="AC59" t="e">
        <f t="shared" si="12"/>
        <v>#NUM!</v>
      </c>
      <c r="AD59" t="e">
        <f t="shared" si="12"/>
        <v>#NUM!</v>
      </c>
      <c r="AE59" t="e">
        <f t="shared" si="12"/>
        <v>#NUM!</v>
      </c>
      <c r="AF59" t="e">
        <f t="shared" si="12"/>
        <v>#NUM!</v>
      </c>
      <c r="AG59" t="e">
        <f t="shared" si="12"/>
        <v>#NUM!</v>
      </c>
      <c r="AH59" t="e">
        <f t="shared" si="12"/>
        <v>#NUM!</v>
      </c>
      <c r="AI59" t="e">
        <f t="shared" si="12"/>
        <v>#NUM!</v>
      </c>
      <c r="AJ59" t="e">
        <f t="shared" si="12"/>
        <v>#NUM!</v>
      </c>
      <c r="AK59" t="e">
        <f t="shared" si="12"/>
        <v>#NUM!</v>
      </c>
      <c r="AL59" t="e">
        <f t="shared" si="12"/>
        <v>#NUM!</v>
      </c>
      <c r="AM59" t="e">
        <f t="shared" si="12"/>
        <v>#NUM!</v>
      </c>
      <c r="AN59" t="e">
        <f t="shared" si="12"/>
        <v>#NUM!</v>
      </c>
      <c r="AO59" t="e">
        <f t="shared" si="12"/>
        <v>#NUM!</v>
      </c>
      <c r="AP59" t="e">
        <f t="shared" si="12"/>
        <v>#NUM!</v>
      </c>
      <c r="AQ59" t="e">
        <f t="shared" si="12"/>
        <v>#NUM!</v>
      </c>
      <c r="AR59" t="e">
        <f t="shared" si="12"/>
        <v>#NUM!</v>
      </c>
      <c r="AS59" t="e">
        <f t="shared" si="12"/>
        <v>#NUM!</v>
      </c>
      <c r="AT59" t="e">
        <f t="shared" si="12"/>
        <v>#NUM!</v>
      </c>
      <c r="AU59" t="e">
        <f t="shared" si="12"/>
        <v>#NUM!</v>
      </c>
      <c r="AV59" t="e">
        <f t="shared" si="12"/>
        <v>#NUM!</v>
      </c>
      <c r="AW59" t="e">
        <f t="shared" si="12"/>
        <v>#NUM!</v>
      </c>
      <c r="AX59" t="e">
        <f t="shared" si="12"/>
        <v>#NUM!</v>
      </c>
      <c r="AY59" t="e">
        <f t="shared" si="12"/>
        <v>#NUM!</v>
      </c>
      <c r="AZ59" t="e">
        <f t="shared" si="12"/>
        <v>#NUM!</v>
      </c>
      <c r="BA59" t="e">
        <f t="shared" si="12"/>
        <v>#NUM!</v>
      </c>
      <c r="BB59" t="e">
        <f t="shared" si="12"/>
        <v>#NUM!</v>
      </c>
      <c r="BC59" t="e">
        <f t="shared" si="12"/>
        <v>#NUM!</v>
      </c>
      <c r="BD59" t="e">
        <f t="shared" si="12"/>
        <v>#NUM!</v>
      </c>
      <c r="BE59" t="e">
        <f t="shared" si="12"/>
        <v>#NUM!</v>
      </c>
      <c r="BF59" t="e">
        <f t="shared" si="12"/>
        <v>#NUM!</v>
      </c>
      <c r="BG59" t="e">
        <f t="shared" si="12"/>
        <v>#NUM!</v>
      </c>
      <c r="BH59" t="e">
        <f t="shared" si="12"/>
        <v>#NUM!</v>
      </c>
      <c r="BI59" t="e">
        <f t="shared" si="12"/>
        <v>#NUM!</v>
      </c>
      <c r="BJ59" t="e">
        <f t="shared" si="12"/>
        <v>#NUM!</v>
      </c>
      <c r="BK59" t="e">
        <f t="shared" si="12"/>
        <v>#NUM!</v>
      </c>
      <c r="BL59" t="e">
        <f t="shared" si="12"/>
        <v>#NUM!</v>
      </c>
      <c r="BM59" t="e">
        <f t="shared" si="12"/>
        <v>#NUM!</v>
      </c>
      <c r="BN59" t="e">
        <f t="shared" si="12"/>
        <v>#NUM!</v>
      </c>
      <c r="BO59" t="e">
        <f t="shared" si="12"/>
        <v>#NUM!</v>
      </c>
      <c r="BP59" t="e">
        <f t="shared" si="12"/>
        <v>#NUM!</v>
      </c>
      <c r="BQ59" t="e">
        <f t="shared" si="12"/>
        <v>#NUM!</v>
      </c>
      <c r="BR59" t="e">
        <f t="shared" si="12"/>
        <v>#NUM!</v>
      </c>
      <c r="BS59" t="e">
        <f t="shared" si="12"/>
        <v>#NUM!</v>
      </c>
      <c r="BT59" t="e">
        <f t="shared" si="12"/>
        <v>#NUM!</v>
      </c>
      <c r="BU59" t="e">
        <f t="shared" si="12"/>
        <v>#NUM!</v>
      </c>
      <c r="BV59" t="e">
        <f t="shared" si="12"/>
        <v>#NUM!</v>
      </c>
      <c r="BW59" t="e">
        <f t="shared" si="12"/>
        <v>#NUM!</v>
      </c>
      <c r="BX59" t="e">
        <f t="shared" si="12"/>
        <v>#NUM!</v>
      </c>
      <c r="BY59" t="e">
        <f t="shared" si="12"/>
        <v>#NUM!</v>
      </c>
      <c r="BZ59" t="e">
        <f t="shared" si="12"/>
        <v>#NUM!</v>
      </c>
      <c r="CA59" t="e">
        <f t="shared" si="12"/>
        <v>#NUM!</v>
      </c>
      <c r="CB59" t="e">
        <f t="shared" si="12"/>
        <v>#NUM!</v>
      </c>
      <c r="CC59" t="e">
        <f t="shared" si="12"/>
        <v>#NUM!</v>
      </c>
      <c r="CD59" t="e">
        <f t="shared" si="12"/>
        <v>#NUM!</v>
      </c>
      <c r="CE59" t="e">
        <f t="shared" si="12"/>
        <v>#NUM!</v>
      </c>
      <c r="CF59" t="e">
        <f t="shared" si="12"/>
        <v>#NUM!</v>
      </c>
      <c r="CG59" t="e">
        <f t="shared" si="12"/>
        <v>#NUM!</v>
      </c>
      <c r="CH59" t="e">
        <f t="shared" si="12"/>
        <v>#NUM!</v>
      </c>
      <c r="CI59" t="e">
        <f t="shared" si="12"/>
        <v>#NUM!</v>
      </c>
      <c r="CJ59" t="e">
        <f t="shared" ref="CJ59:DP64" si="13">IF(CI$71=$T59,CI59-1,CI59)</f>
        <v>#NUM!</v>
      </c>
      <c r="CK59" t="e">
        <f t="shared" si="13"/>
        <v>#NUM!</v>
      </c>
      <c r="CL59" t="e">
        <f t="shared" si="13"/>
        <v>#NUM!</v>
      </c>
      <c r="CM59" t="e">
        <f t="shared" si="13"/>
        <v>#NUM!</v>
      </c>
      <c r="CN59" t="e">
        <f t="shared" si="13"/>
        <v>#NUM!</v>
      </c>
      <c r="CO59" t="e">
        <f t="shared" si="13"/>
        <v>#NUM!</v>
      </c>
      <c r="CP59" t="e">
        <f t="shared" si="13"/>
        <v>#NUM!</v>
      </c>
      <c r="CQ59" t="e">
        <f t="shared" si="13"/>
        <v>#NUM!</v>
      </c>
      <c r="CR59" t="e">
        <f t="shared" si="13"/>
        <v>#NUM!</v>
      </c>
      <c r="CS59" t="e">
        <f t="shared" si="13"/>
        <v>#NUM!</v>
      </c>
      <c r="CT59" t="e">
        <f t="shared" si="13"/>
        <v>#NUM!</v>
      </c>
      <c r="CU59" t="e">
        <f t="shared" si="13"/>
        <v>#NUM!</v>
      </c>
      <c r="CV59" t="e">
        <f t="shared" si="13"/>
        <v>#NUM!</v>
      </c>
      <c r="CW59" t="e">
        <f t="shared" si="13"/>
        <v>#NUM!</v>
      </c>
      <c r="CX59" t="e">
        <f t="shared" si="13"/>
        <v>#NUM!</v>
      </c>
      <c r="CY59" t="e">
        <f t="shared" si="13"/>
        <v>#NUM!</v>
      </c>
      <c r="CZ59" t="e">
        <f t="shared" si="13"/>
        <v>#NUM!</v>
      </c>
      <c r="DA59" t="e">
        <f t="shared" si="13"/>
        <v>#NUM!</v>
      </c>
      <c r="DB59" t="e">
        <f t="shared" si="13"/>
        <v>#NUM!</v>
      </c>
      <c r="DC59" t="e">
        <f t="shared" si="13"/>
        <v>#NUM!</v>
      </c>
      <c r="DD59" t="e">
        <f t="shared" si="13"/>
        <v>#NUM!</v>
      </c>
      <c r="DE59" t="e">
        <f t="shared" si="13"/>
        <v>#NUM!</v>
      </c>
      <c r="DF59" t="e">
        <f t="shared" si="13"/>
        <v>#NUM!</v>
      </c>
      <c r="DG59" t="e">
        <f t="shared" si="13"/>
        <v>#NUM!</v>
      </c>
      <c r="DH59" t="e">
        <f t="shared" si="13"/>
        <v>#NUM!</v>
      </c>
      <c r="DI59" t="e">
        <f t="shared" si="13"/>
        <v>#NUM!</v>
      </c>
      <c r="DJ59" t="e">
        <f t="shared" si="13"/>
        <v>#NUM!</v>
      </c>
      <c r="DK59" t="e">
        <f t="shared" si="13"/>
        <v>#NUM!</v>
      </c>
      <c r="DL59" t="e">
        <f t="shared" si="13"/>
        <v>#NUM!</v>
      </c>
      <c r="DM59" t="e">
        <f t="shared" si="13"/>
        <v>#NUM!</v>
      </c>
      <c r="DN59" t="e">
        <f t="shared" si="13"/>
        <v>#NUM!</v>
      </c>
      <c r="DO59" t="e">
        <f t="shared" si="13"/>
        <v>#NUM!</v>
      </c>
      <c r="DP59" t="e">
        <f t="shared" si="13"/>
        <v>#NUM!</v>
      </c>
      <c r="DQ59" t="s">
        <v>22</v>
      </c>
    </row>
    <row r="60" spans="13:121" x14ac:dyDescent="0.25">
      <c r="T60" t="s">
        <v>23</v>
      </c>
      <c r="U60">
        <f t="shared" ref="U60:U64" si="14">Q49</f>
        <v>0</v>
      </c>
      <c r="V60" t="e">
        <f t="shared" ref="V60:AK64" si="15">IF(U$71=$T60,U60-1,U60)</f>
        <v>#NUM!</v>
      </c>
      <c r="W60" t="e">
        <f>IF(V$71=$T60,V60-1,V60)</f>
        <v>#NUM!</v>
      </c>
      <c r="X60" t="e">
        <f t="shared" si="12"/>
        <v>#NUM!</v>
      </c>
      <c r="Y60" t="e">
        <f t="shared" si="12"/>
        <v>#NUM!</v>
      </c>
      <c r="Z60" t="e">
        <f t="shared" si="12"/>
        <v>#NUM!</v>
      </c>
      <c r="AA60" t="e">
        <f t="shared" si="12"/>
        <v>#NUM!</v>
      </c>
      <c r="AB60" t="e">
        <f t="shared" si="12"/>
        <v>#NUM!</v>
      </c>
      <c r="AC60" t="e">
        <f t="shared" si="12"/>
        <v>#NUM!</v>
      </c>
      <c r="AD60" t="e">
        <f t="shared" si="12"/>
        <v>#NUM!</v>
      </c>
      <c r="AE60" t="e">
        <f t="shared" si="12"/>
        <v>#NUM!</v>
      </c>
      <c r="AF60" t="e">
        <f t="shared" si="12"/>
        <v>#NUM!</v>
      </c>
      <c r="AG60" t="e">
        <f t="shared" si="12"/>
        <v>#NUM!</v>
      </c>
      <c r="AH60" t="e">
        <f t="shared" si="12"/>
        <v>#NUM!</v>
      </c>
      <c r="AI60" t="e">
        <f t="shared" si="12"/>
        <v>#NUM!</v>
      </c>
      <c r="AJ60" t="e">
        <f t="shared" si="12"/>
        <v>#NUM!</v>
      </c>
      <c r="AK60" t="e">
        <f t="shared" si="12"/>
        <v>#NUM!</v>
      </c>
      <c r="AL60" t="e">
        <f t="shared" si="12"/>
        <v>#NUM!</v>
      </c>
      <c r="AM60" t="e">
        <f t="shared" si="12"/>
        <v>#NUM!</v>
      </c>
      <c r="AN60" t="e">
        <f t="shared" si="12"/>
        <v>#NUM!</v>
      </c>
      <c r="AO60" t="e">
        <f t="shared" si="12"/>
        <v>#NUM!</v>
      </c>
      <c r="AP60" t="e">
        <f t="shared" si="12"/>
        <v>#NUM!</v>
      </c>
      <c r="AQ60" t="e">
        <f t="shared" si="12"/>
        <v>#NUM!</v>
      </c>
      <c r="AR60" t="e">
        <f t="shared" si="12"/>
        <v>#NUM!</v>
      </c>
      <c r="AS60" t="e">
        <f t="shared" si="12"/>
        <v>#NUM!</v>
      </c>
      <c r="AT60" t="e">
        <f t="shared" si="12"/>
        <v>#NUM!</v>
      </c>
      <c r="AU60" t="e">
        <f t="shared" si="12"/>
        <v>#NUM!</v>
      </c>
      <c r="AV60" t="e">
        <f t="shared" si="12"/>
        <v>#NUM!</v>
      </c>
      <c r="AW60" t="e">
        <f t="shared" si="12"/>
        <v>#NUM!</v>
      </c>
      <c r="AX60" t="e">
        <f t="shared" si="12"/>
        <v>#NUM!</v>
      </c>
      <c r="AY60" t="e">
        <f t="shared" si="12"/>
        <v>#NUM!</v>
      </c>
      <c r="AZ60" t="e">
        <f t="shared" si="12"/>
        <v>#NUM!</v>
      </c>
      <c r="BA60" t="e">
        <f t="shared" si="12"/>
        <v>#NUM!</v>
      </c>
      <c r="BB60" t="e">
        <f t="shared" si="12"/>
        <v>#NUM!</v>
      </c>
      <c r="BC60" t="e">
        <f t="shared" si="12"/>
        <v>#NUM!</v>
      </c>
      <c r="BD60" t="e">
        <f t="shared" si="12"/>
        <v>#NUM!</v>
      </c>
      <c r="BE60" t="e">
        <f t="shared" si="12"/>
        <v>#NUM!</v>
      </c>
      <c r="BF60" t="e">
        <f t="shared" si="12"/>
        <v>#NUM!</v>
      </c>
      <c r="BG60" t="e">
        <f t="shared" si="12"/>
        <v>#NUM!</v>
      </c>
      <c r="BH60" t="e">
        <f t="shared" si="12"/>
        <v>#NUM!</v>
      </c>
      <c r="BI60" t="e">
        <f t="shared" si="12"/>
        <v>#NUM!</v>
      </c>
      <c r="BJ60" t="e">
        <f t="shared" si="12"/>
        <v>#NUM!</v>
      </c>
      <c r="BK60" t="e">
        <f t="shared" si="12"/>
        <v>#NUM!</v>
      </c>
      <c r="BL60" t="e">
        <f t="shared" si="12"/>
        <v>#NUM!</v>
      </c>
      <c r="BM60" t="e">
        <f t="shared" si="12"/>
        <v>#NUM!</v>
      </c>
      <c r="BN60" t="e">
        <f t="shared" si="12"/>
        <v>#NUM!</v>
      </c>
      <c r="BO60" t="e">
        <f t="shared" si="12"/>
        <v>#NUM!</v>
      </c>
      <c r="BP60" t="e">
        <f t="shared" si="12"/>
        <v>#NUM!</v>
      </c>
      <c r="BQ60" t="e">
        <f t="shared" si="12"/>
        <v>#NUM!</v>
      </c>
      <c r="BR60" t="e">
        <f t="shared" si="12"/>
        <v>#NUM!</v>
      </c>
      <c r="BS60" t="e">
        <f t="shared" si="12"/>
        <v>#NUM!</v>
      </c>
      <c r="BT60" t="e">
        <f t="shared" si="12"/>
        <v>#NUM!</v>
      </c>
      <c r="BU60" t="e">
        <f t="shared" si="12"/>
        <v>#NUM!</v>
      </c>
      <c r="BV60" t="e">
        <f t="shared" si="12"/>
        <v>#NUM!</v>
      </c>
      <c r="BW60" t="e">
        <f t="shared" si="12"/>
        <v>#NUM!</v>
      </c>
      <c r="BX60" t="e">
        <f t="shared" si="12"/>
        <v>#NUM!</v>
      </c>
      <c r="BY60" t="e">
        <f t="shared" si="12"/>
        <v>#NUM!</v>
      </c>
      <c r="BZ60" t="e">
        <f t="shared" si="12"/>
        <v>#NUM!</v>
      </c>
      <c r="CA60" t="e">
        <f t="shared" si="12"/>
        <v>#NUM!</v>
      </c>
      <c r="CB60" t="e">
        <f t="shared" si="12"/>
        <v>#NUM!</v>
      </c>
      <c r="CC60" t="e">
        <f t="shared" si="12"/>
        <v>#NUM!</v>
      </c>
      <c r="CD60" t="e">
        <f t="shared" si="12"/>
        <v>#NUM!</v>
      </c>
      <c r="CE60" t="e">
        <f t="shared" si="12"/>
        <v>#NUM!</v>
      </c>
      <c r="CF60" t="e">
        <f t="shared" si="12"/>
        <v>#NUM!</v>
      </c>
      <c r="CG60" t="e">
        <f t="shared" si="12"/>
        <v>#NUM!</v>
      </c>
      <c r="CH60" t="e">
        <f t="shared" si="12"/>
        <v>#NUM!</v>
      </c>
      <c r="CI60" t="e">
        <f t="shared" si="12"/>
        <v>#NUM!</v>
      </c>
      <c r="CJ60" t="e">
        <f t="shared" si="13"/>
        <v>#NUM!</v>
      </c>
      <c r="CK60" t="e">
        <f t="shared" si="13"/>
        <v>#NUM!</v>
      </c>
      <c r="CL60" t="e">
        <f t="shared" si="13"/>
        <v>#NUM!</v>
      </c>
      <c r="CM60" t="e">
        <f t="shared" si="13"/>
        <v>#NUM!</v>
      </c>
      <c r="CN60" t="e">
        <f t="shared" si="13"/>
        <v>#NUM!</v>
      </c>
      <c r="CO60" t="e">
        <f t="shared" si="13"/>
        <v>#NUM!</v>
      </c>
      <c r="CP60" t="e">
        <f t="shared" si="13"/>
        <v>#NUM!</v>
      </c>
      <c r="CQ60" t="e">
        <f t="shared" si="13"/>
        <v>#NUM!</v>
      </c>
      <c r="CR60" t="e">
        <f t="shared" si="13"/>
        <v>#NUM!</v>
      </c>
      <c r="CS60" t="e">
        <f t="shared" si="13"/>
        <v>#NUM!</v>
      </c>
      <c r="CT60" t="e">
        <f t="shared" si="13"/>
        <v>#NUM!</v>
      </c>
      <c r="CU60" t="e">
        <f t="shared" si="13"/>
        <v>#NUM!</v>
      </c>
      <c r="CV60" t="e">
        <f t="shared" si="13"/>
        <v>#NUM!</v>
      </c>
      <c r="CW60" t="e">
        <f t="shared" si="13"/>
        <v>#NUM!</v>
      </c>
      <c r="CX60" t="e">
        <f t="shared" si="13"/>
        <v>#NUM!</v>
      </c>
      <c r="CY60" t="e">
        <f t="shared" si="13"/>
        <v>#NUM!</v>
      </c>
      <c r="CZ60" t="e">
        <f t="shared" si="13"/>
        <v>#NUM!</v>
      </c>
      <c r="DA60" t="e">
        <f t="shared" si="13"/>
        <v>#NUM!</v>
      </c>
      <c r="DB60" t="e">
        <f t="shared" si="13"/>
        <v>#NUM!</v>
      </c>
      <c r="DC60" t="e">
        <f t="shared" si="13"/>
        <v>#NUM!</v>
      </c>
      <c r="DD60" t="e">
        <f t="shared" si="13"/>
        <v>#NUM!</v>
      </c>
      <c r="DE60" t="e">
        <f t="shared" si="13"/>
        <v>#NUM!</v>
      </c>
      <c r="DF60" t="e">
        <f t="shared" si="13"/>
        <v>#NUM!</v>
      </c>
      <c r="DG60" t="e">
        <f t="shared" si="13"/>
        <v>#NUM!</v>
      </c>
      <c r="DH60" t="e">
        <f t="shared" si="13"/>
        <v>#NUM!</v>
      </c>
      <c r="DI60" t="e">
        <f t="shared" si="13"/>
        <v>#NUM!</v>
      </c>
      <c r="DJ60" t="e">
        <f t="shared" si="13"/>
        <v>#NUM!</v>
      </c>
      <c r="DK60" t="e">
        <f t="shared" si="13"/>
        <v>#NUM!</v>
      </c>
      <c r="DL60" t="e">
        <f t="shared" si="13"/>
        <v>#NUM!</v>
      </c>
      <c r="DM60" t="e">
        <f t="shared" si="13"/>
        <v>#NUM!</v>
      </c>
      <c r="DN60" t="e">
        <f t="shared" si="13"/>
        <v>#NUM!</v>
      </c>
      <c r="DO60" t="e">
        <f t="shared" si="13"/>
        <v>#NUM!</v>
      </c>
      <c r="DP60" t="e">
        <f t="shared" si="13"/>
        <v>#NUM!</v>
      </c>
      <c r="DQ60" t="s">
        <v>23</v>
      </c>
    </row>
    <row r="61" spans="13:121" x14ac:dyDescent="0.25">
      <c r="T61" t="s">
        <v>24</v>
      </c>
      <c r="U61">
        <f t="shared" si="14"/>
        <v>0</v>
      </c>
      <c r="V61" t="e">
        <f t="shared" si="15"/>
        <v>#NUM!</v>
      </c>
      <c r="W61" t="e">
        <f t="shared" si="15"/>
        <v>#NUM!</v>
      </c>
      <c r="X61" t="e">
        <f t="shared" si="12"/>
        <v>#NUM!</v>
      </c>
      <c r="Y61" t="e">
        <f t="shared" si="12"/>
        <v>#NUM!</v>
      </c>
      <c r="Z61" t="e">
        <f t="shared" si="12"/>
        <v>#NUM!</v>
      </c>
      <c r="AA61" t="e">
        <f t="shared" si="12"/>
        <v>#NUM!</v>
      </c>
      <c r="AB61" t="e">
        <f t="shared" si="12"/>
        <v>#NUM!</v>
      </c>
      <c r="AC61" t="e">
        <f t="shared" si="12"/>
        <v>#NUM!</v>
      </c>
      <c r="AD61" t="e">
        <f t="shared" si="12"/>
        <v>#NUM!</v>
      </c>
      <c r="AE61" t="e">
        <f t="shared" si="12"/>
        <v>#NUM!</v>
      </c>
      <c r="AF61" t="e">
        <f t="shared" si="12"/>
        <v>#NUM!</v>
      </c>
      <c r="AG61" t="e">
        <f t="shared" si="12"/>
        <v>#NUM!</v>
      </c>
      <c r="AH61" t="e">
        <f t="shared" si="12"/>
        <v>#NUM!</v>
      </c>
      <c r="AI61" t="e">
        <f t="shared" si="12"/>
        <v>#NUM!</v>
      </c>
      <c r="AJ61" t="e">
        <f t="shared" si="12"/>
        <v>#NUM!</v>
      </c>
      <c r="AK61" t="e">
        <f t="shared" si="12"/>
        <v>#NUM!</v>
      </c>
      <c r="AL61" t="e">
        <f t="shared" si="12"/>
        <v>#NUM!</v>
      </c>
      <c r="AM61" t="e">
        <f t="shared" si="12"/>
        <v>#NUM!</v>
      </c>
      <c r="AN61" t="e">
        <f t="shared" si="12"/>
        <v>#NUM!</v>
      </c>
      <c r="AO61" t="e">
        <f t="shared" si="12"/>
        <v>#NUM!</v>
      </c>
      <c r="AP61" t="e">
        <f t="shared" si="12"/>
        <v>#NUM!</v>
      </c>
      <c r="AQ61" t="e">
        <f t="shared" si="12"/>
        <v>#NUM!</v>
      </c>
      <c r="AR61" t="e">
        <f t="shared" si="12"/>
        <v>#NUM!</v>
      </c>
      <c r="AS61" t="e">
        <f t="shared" si="12"/>
        <v>#NUM!</v>
      </c>
      <c r="AT61" t="e">
        <f t="shared" si="12"/>
        <v>#NUM!</v>
      </c>
      <c r="AU61" t="e">
        <f t="shared" si="12"/>
        <v>#NUM!</v>
      </c>
      <c r="AV61" t="e">
        <f t="shared" si="12"/>
        <v>#NUM!</v>
      </c>
      <c r="AW61" t="e">
        <f t="shared" si="12"/>
        <v>#NUM!</v>
      </c>
      <c r="AX61" t="e">
        <f t="shared" si="12"/>
        <v>#NUM!</v>
      </c>
      <c r="AY61" t="e">
        <f t="shared" si="12"/>
        <v>#NUM!</v>
      </c>
      <c r="AZ61" t="e">
        <f t="shared" si="12"/>
        <v>#NUM!</v>
      </c>
      <c r="BA61" t="e">
        <f t="shared" si="12"/>
        <v>#NUM!</v>
      </c>
      <c r="BB61" t="e">
        <f t="shared" si="12"/>
        <v>#NUM!</v>
      </c>
      <c r="BC61" t="e">
        <f t="shared" si="12"/>
        <v>#NUM!</v>
      </c>
      <c r="BD61" t="e">
        <f t="shared" si="12"/>
        <v>#NUM!</v>
      </c>
      <c r="BE61" t="e">
        <f t="shared" si="12"/>
        <v>#NUM!</v>
      </c>
      <c r="BF61" t="e">
        <f t="shared" si="12"/>
        <v>#NUM!</v>
      </c>
      <c r="BG61" t="e">
        <f t="shared" si="12"/>
        <v>#NUM!</v>
      </c>
      <c r="BH61" t="e">
        <f t="shared" si="12"/>
        <v>#NUM!</v>
      </c>
      <c r="BI61" t="e">
        <f t="shared" si="12"/>
        <v>#NUM!</v>
      </c>
      <c r="BJ61" t="e">
        <f t="shared" si="12"/>
        <v>#NUM!</v>
      </c>
      <c r="BK61" t="e">
        <f t="shared" si="12"/>
        <v>#NUM!</v>
      </c>
      <c r="BL61" t="e">
        <f t="shared" si="12"/>
        <v>#NUM!</v>
      </c>
      <c r="BM61" t="e">
        <f t="shared" si="12"/>
        <v>#NUM!</v>
      </c>
      <c r="BN61" t="e">
        <f t="shared" si="12"/>
        <v>#NUM!</v>
      </c>
      <c r="BO61" t="e">
        <f t="shared" si="12"/>
        <v>#NUM!</v>
      </c>
      <c r="BP61" t="e">
        <f t="shared" si="12"/>
        <v>#NUM!</v>
      </c>
      <c r="BQ61" t="e">
        <f t="shared" si="12"/>
        <v>#NUM!</v>
      </c>
      <c r="BR61" t="e">
        <f t="shared" si="12"/>
        <v>#NUM!</v>
      </c>
      <c r="BS61" t="e">
        <f t="shared" si="12"/>
        <v>#NUM!</v>
      </c>
      <c r="BT61" t="e">
        <f t="shared" si="12"/>
        <v>#NUM!</v>
      </c>
      <c r="BU61" t="e">
        <f t="shared" si="12"/>
        <v>#NUM!</v>
      </c>
      <c r="BV61" t="e">
        <f t="shared" si="12"/>
        <v>#NUM!</v>
      </c>
      <c r="BW61" t="e">
        <f t="shared" si="12"/>
        <v>#NUM!</v>
      </c>
      <c r="BX61" t="e">
        <f t="shared" si="12"/>
        <v>#NUM!</v>
      </c>
      <c r="BY61" t="e">
        <f t="shared" si="12"/>
        <v>#NUM!</v>
      </c>
      <c r="BZ61" t="e">
        <f t="shared" si="12"/>
        <v>#NUM!</v>
      </c>
      <c r="CA61" t="e">
        <f t="shared" si="12"/>
        <v>#NUM!</v>
      </c>
      <c r="CB61" t="e">
        <f t="shared" si="12"/>
        <v>#NUM!</v>
      </c>
      <c r="CC61" t="e">
        <f t="shared" si="12"/>
        <v>#NUM!</v>
      </c>
      <c r="CD61" t="e">
        <f t="shared" si="12"/>
        <v>#NUM!</v>
      </c>
      <c r="CE61" t="e">
        <f t="shared" si="12"/>
        <v>#NUM!</v>
      </c>
      <c r="CF61" t="e">
        <f t="shared" si="12"/>
        <v>#NUM!</v>
      </c>
      <c r="CG61" t="e">
        <f t="shared" si="12"/>
        <v>#NUM!</v>
      </c>
      <c r="CH61" t="e">
        <f t="shared" si="12"/>
        <v>#NUM!</v>
      </c>
      <c r="CI61" t="e">
        <f t="shared" si="12"/>
        <v>#NUM!</v>
      </c>
      <c r="CJ61" t="e">
        <f t="shared" si="13"/>
        <v>#NUM!</v>
      </c>
      <c r="CK61" t="e">
        <f t="shared" si="13"/>
        <v>#NUM!</v>
      </c>
      <c r="CL61" t="e">
        <f t="shared" si="13"/>
        <v>#NUM!</v>
      </c>
      <c r="CM61" t="e">
        <f t="shared" si="13"/>
        <v>#NUM!</v>
      </c>
      <c r="CN61" t="e">
        <f t="shared" si="13"/>
        <v>#NUM!</v>
      </c>
      <c r="CO61" t="e">
        <f t="shared" si="13"/>
        <v>#NUM!</v>
      </c>
      <c r="CP61" t="e">
        <f t="shared" si="13"/>
        <v>#NUM!</v>
      </c>
      <c r="CQ61" t="e">
        <f t="shared" si="13"/>
        <v>#NUM!</v>
      </c>
      <c r="CR61" t="e">
        <f t="shared" si="13"/>
        <v>#NUM!</v>
      </c>
      <c r="CS61" t="e">
        <f t="shared" si="13"/>
        <v>#NUM!</v>
      </c>
      <c r="CT61" t="e">
        <f t="shared" si="13"/>
        <v>#NUM!</v>
      </c>
      <c r="CU61" t="e">
        <f t="shared" si="13"/>
        <v>#NUM!</v>
      </c>
      <c r="CV61" t="e">
        <f t="shared" si="13"/>
        <v>#NUM!</v>
      </c>
      <c r="CW61" t="e">
        <f t="shared" si="13"/>
        <v>#NUM!</v>
      </c>
      <c r="CX61" t="e">
        <f t="shared" si="13"/>
        <v>#NUM!</v>
      </c>
      <c r="CY61" t="e">
        <f t="shared" si="13"/>
        <v>#NUM!</v>
      </c>
      <c r="CZ61" t="e">
        <f t="shared" si="13"/>
        <v>#NUM!</v>
      </c>
      <c r="DA61" t="e">
        <f t="shared" si="13"/>
        <v>#NUM!</v>
      </c>
      <c r="DB61" t="e">
        <f t="shared" si="13"/>
        <v>#NUM!</v>
      </c>
      <c r="DC61" t="e">
        <f t="shared" si="13"/>
        <v>#NUM!</v>
      </c>
      <c r="DD61" t="e">
        <f t="shared" si="13"/>
        <v>#NUM!</v>
      </c>
      <c r="DE61" t="e">
        <f t="shared" si="13"/>
        <v>#NUM!</v>
      </c>
      <c r="DF61" t="e">
        <f t="shared" si="13"/>
        <v>#NUM!</v>
      </c>
      <c r="DG61" t="e">
        <f t="shared" si="13"/>
        <v>#NUM!</v>
      </c>
      <c r="DH61" t="e">
        <f t="shared" si="13"/>
        <v>#NUM!</v>
      </c>
      <c r="DI61" t="e">
        <f t="shared" si="13"/>
        <v>#NUM!</v>
      </c>
      <c r="DJ61" t="e">
        <f t="shared" si="13"/>
        <v>#NUM!</v>
      </c>
      <c r="DK61" t="e">
        <f t="shared" si="13"/>
        <v>#NUM!</v>
      </c>
      <c r="DL61" t="e">
        <f t="shared" si="13"/>
        <v>#NUM!</v>
      </c>
      <c r="DM61" t="e">
        <f t="shared" si="13"/>
        <v>#NUM!</v>
      </c>
      <c r="DN61" t="e">
        <f t="shared" si="13"/>
        <v>#NUM!</v>
      </c>
      <c r="DO61" t="e">
        <f t="shared" si="13"/>
        <v>#NUM!</v>
      </c>
      <c r="DP61" t="e">
        <f t="shared" si="13"/>
        <v>#NUM!</v>
      </c>
      <c r="DQ61" t="s">
        <v>24</v>
      </c>
    </row>
    <row r="62" spans="13:121" x14ac:dyDescent="0.25">
      <c r="T62" t="s">
        <v>25</v>
      </c>
      <c r="U62">
        <f t="shared" si="14"/>
        <v>0</v>
      </c>
      <c r="V62" t="e">
        <f t="shared" si="15"/>
        <v>#NUM!</v>
      </c>
      <c r="W62" t="e">
        <f t="shared" si="15"/>
        <v>#NUM!</v>
      </c>
      <c r="X62" t="e">
        <f t="shared" si="12"/>
        <v>#NUM!</v>
      </c>
      <c r="Y62" t="e">
        <f t="shared" si="12"/>
        <v>#NUM!</v>
      </c>
      <c r="Z62" t="e">
        <f t="shared" si="12"/>
        <v>#NUM!</v>
      </c>
      <c r="AA62" t="e">
        <f t="shared" si="12"/>
        <v>#NUM!</v>
      </c>
      <c r="AB62" t="e">
        <f t="shared" si="12"/>
        <v>#NUM!</v>
      </c>
      <c r="AC62" t="e">
        <f t="shared" si="12"/>
        <v>#NUM!</v>
      </c>
      <c r="AD62" t="e">
        <f t="shared" si="12"/>
        <v>#NUM!</v>
      </c>
      <c r="AE62" t="e">
        <f t="shared" si="12"/>
        <v>#NUM!</v>
      </c>
      <c r="AF62" t="e">
        <f t="shared" si="12"/>
        <v>#NUM!</v>
      </c>
      <c r="AG62" t="e">
        <f t="shared" si="12"/>
        <v>#NUM!</v>
      </c>
      <c r="AH62" t="e">
        <f t="shared" si="12"/>
        <v>#NUM!</v>
      </c>
      <c r="AI62" t="e">
        <f t="shared" si="12"/>
        <v>#NUM!</v>
      </c>
      <c r="AJ62" t="e">
        <f t="shared" si="12"/>
        <v>#NUM!</v>
      </c>
      <c r="AK62" t="e">
        <f t="shared" si="12"/>
        <v>#NUM!</v>
      </c>
      <c r="AL62" t="e">
        <f t="shared" si="12"/>
        <v>#NUM!</v>
      </c>
      <c r="AM62" t="e">
        <f t="shared" si="12"/>
        <v>#NUM!</v>
      </c>
      <c r="AN62" t="e">
        <f t="shared" si="12"/>
        <v>#NUM!</v>
      </c>
      <c r="AO62" t="e">
        <f t="shared" si="12"/>
        <v>#NUM!</v>
      </c>
      <c r="AP62" t="e">
        <f t="shared" si="12"/>
        <v>#NUM!</v>
      </c>
      <c r="AQ62" t="e">
        <f t="shared" si="12"/>
        <v>#NUM!</v>
      </c>
      <c r="AR62" t="e">
        <f t="shared" si="12"/>
        <v>#NUM!</v>
      </c>
      <c r="AS62" t="e">
        <f t="shared" si="12"/>
        <v>#NUM!</v>
      </c>
      <c r="AT62" t="e">
        <f t="shared" si="12"/>
        <v>#NUM!</v>
      </c>
      <c r="AU62" t="e">
        <f t="shared" si="12"/>
        <v>#NUM!</v>
      </c>
      <c r="AV62" t="e">
        <f t="shared" si="12"/>
        <v>#NUM!</v>
      </c>
      <c r="AW62" t="e">
        <f t="shared" si="12"/>
        <v>#NUM!</v>
      </c>
      <c r="AX62" t="e">
        <f t="shared" si="12"/>
        <v>#NUM!</v>
      </c>
      <c r="AY62" t="e">
        <f t="shared" si="12"/>
        <v>#NUM!</v>
      </c>
      <c r="AZ62" t="e">
        <f t="shared" si="12"/>
        <v>#NUM!</v>
      </c>
      <c r="BA62" t="e">
        <f t="shared" si="12"/>
        <v>#NUM!</v>
      </c>
      <c r="BB62" t="e">
        <f t="shared" si="12"/>
        <v>#NUM!</v>
      </c>
      <c r="BC62" t="e">
        <f t="shared" si="12"/>
        <v>#NUM!</v>
      </c>
      <c r="BD62" t="e">
        <f t="shared" si="12"/>
        <v>#NUM!</v>
      </c>
      <c r="BE62" t="e">
        <f t="shared" si="12"/>
        <v>#NUM!</v>
      </c>
      <c r="BF62" t="e">
        <f t="shared" si="12"/>
        <v>#NUM!</v>
      </c>
      <c r="BG62" t="e">
        <f t="shared" si="12"/>
        <v>#NUM!</v>
      </c>
      <c r="BH62" t="e">
        <f t="shared" si="12"/>
        <v>#NUM!</v>
      </c>
      <c r="BI62" t="e">
        <f t="shared" si="12"/>
        <v>#NUM!</v>
      </c>
      <c r="BJ62" t="e">
        <f t="shared" si="12"/>
        <v>#NUM!</v>
      </c>
      <c r="BK62" t="e">
        <f t="shared" si="12"/>
        <v>#NUM!</v>
      </c>
      <c r="BL62" t="e">
        <f t="shared" si="12"/>
        <v>#NUM!</v>
      </c>
      <c r="BM62" t="e">
        <f t="shared" si="12"/>
        <v>#NUM!</v>
      </c>
      <c r="BN62" t="e">
        <f t="shared" si="12"/>
        <v>#NUM!</v>
      </c>
      <c r="BO62" t="e">
        <f t="shared" si="12"/>
        <v>#NUM!</v>
      </c>
      <c r="BP62" t="e">
        <f t="shared" si="12"/>
        <v>#NUM!</v>
      </c>
      <c r="BQ62" t="e">
        <f t="shared" si="12"/>
        <v>#NUM!</v>
      </c>
      <c r="BR62" t="e">
        <f t="shared" si="12"/>
        <v>#NUM!</v>
      </c>
      <c r="BS62" t="e">
        <f t="shared" si="12"/>
        <v>#NUM!</v>
      </c>
      <c r="BT62" t="e">
        <f t="shared" si="12"/>
        <v>#NUM!</v>
      </c>
      <c r="BU62" t="e">
        <f t="shared" si="12"/>
        <v>#NUM!</v>
      </c>
      <c r="BV62" t="e">
        <f t="shared" si="12"/>
        <v>#NUM!</v>
      </c>
      <c r="BW62" t="e">
        <f t="shared" si="12"/>
        <v>#NUM!</v>
      </c>
      <c r="BX62" t="e">
        <f t="shared" si="12"/>
        <v>#NUM!</v>
      </c>
      <c r="BY62" t="e">
        <f t="shared" si="12"/>
        <v>#NUM!</v>
      </c>
      <c r="BZ62" t="e">
        <f t="shared" si="12"/>
        <v>#NUM!</v>
      </c>
      <c r="CA62" t="e">
        <f t="shared" si="12"/>
        <v>#NUM!</v>
      </c>
      <c r="CB62" t="e">
        <f t="shared" si="12"/>
        <v>#NUM!</v>
      </c>
      <c r="CC62" t="e">
        <f t="shared" si="12"/>
        <v>#NUM!</v>
      </c>
      <c r="CD62" t="e">
        <f t="shared" si="12"/>
        <v>#NUM!</v>
      </c>
      <c r="CE62" t="e">
        <f t="shared" si="12"/>
        <v>#NUM!</v>
      </c>
      <c r="CF62" t="e">
        <f t="shared" si="12"/>
        <v>#NUM!</v>
      </c>
      <c r="CG62" t="e">
        <f t="shared" si="12"/>
        <v>#NUM!</v>
      </c>
      <c r="CH62" t="e">
        <f t="shared" si="12"/>
        <v>#NUM!</v>
      </c>
      <c r="CI62" t="e">
        <f t="shared" ref="CI62:CM62" si="16">IF(CH$71=$T62,CH62-1,CH62)</f>
        <v>#NUM!</v>
      </c>
      <c r="CJ62" t="e">
        <f t="shared" si="16"/>
        <v>#NUM!</v>
      </c>
      <c r="CK62" t="e">
        <f t="shared" si="16"/>
        <v>#NUM!</v>
      </c>
      <c r="CL62" t="e">
        <f t="shared" si="16"/>
        <v>#NUM!</v>
      </c>
      <c r="CM62" t="e">
        <f t="shared" si="16"/>
        <v>#NUM!</v>
      </c>
      <c r="CN62" t="e">
        <f t="shared" si="13"/>
        <v>#NUM!</v>
      </c>
      <c r="CO62" t="e">
        <f t="shared" si="13"/>
        <v>#NUM!</v>
      </c>
      <c r="CP62" t="e">
        <f t="shared" si="13"/>
        <v>#NUM!</v>
      </c>
      <c r="CQ62" t="e">
        <f t="shared" si="13"/>
        <v>#NUM!</v>
      </c>
      <c r="CR62" t="e">
        <f t="shared" si="13"/>
        <v>#NUM!</v>
      </c>
      <c r="CS62" t="e">
        <f t="shared" si="13"/>
        <v>#NUM!</v>
      </c>
      <c r="CT62" t="e">
        <f t="shared" si="13"/>
        <v>#NUM!</v>
      </c>
      <c r="CU62" t="e">
        <f t="shared" si="13"/>
        <v>#NUM!</v>
      </c>
      <c r="CV62" t="e">
        <f t="shared" si="13"/>
        <v>#NUM!</v>
      </c>
      <c r="CW62" t="e">
        <f t="shared" si="13"/>
        <v>#NUM!</v>
      </c>
      <c r="CX62" t="e">
        <f t="shared" si="13"/>
        <v>#NUM!</v>
      </c>
      <c r="CY62" t="e">
        <f t="shared" si="13"/>
        <v>#NUM!</v>
      </c>
      <c r="CZ62" t="e">
        <f t="shared" si="13"/>
        <v>#NUM!</v>
      </c>
      <c r="DA62" t="e">
        <f t="shared" si="13"/>
        <v>#NUM!</v>
      </c>
      <c r="DB62" t="e">
        <f t="shared" si="13"/>
        <v>#NUM!</v>
      </c>
      <c r="DC62" t="e">
        <f t="shared" si="13"/>
        <v>#NUM!</v>
      </c>
      <c r="DD62" t="e">
        <f t="shared" si="13"/>
        <v>#NUM!</v>
      </c>
      <c r="DE62" t="e">
        <f t="shared" si="13"/>
        <v>#NUM!</v>
      </c>
      <c r="DF62" t="e">
        <f t="shared" si="13"/>
        <v>#NUM!</v>
      </c>
      <c r="DG62" t="e">
        <f t="shared" si="13"/>
        <v>#NUM!</v>
      </c>
      <c r="DH62" t="e">
        <f t="shared" si="13"/>
        <v>#NUM!</v>
      </c>
      <c r="DI62" t="e">
        <f t="shared" si="13"/>
        <v>#NUM!</v>
      </c>
      <c r="DJ62" t="e">
        <f>IF(DI$71=$T62,DI62-1,DI62)</f>
        <v>#NUM!</v>
      </c>
      <c r="DK62" t="e">
        <f t="shared" si="13"/>
        <v>#NUM!</v>
      </c>
      <c r="DL62" t="e">
        <f t="shared" si="13"/>
        <v>#NUM!</v>
      </c>
      <c r="DM62" t="e">
        <f t="shared" si="13"/>
        <v>#NUM!</v>
      </c>
      <c r="DN62" t="e">
        <f t="shared" si="13"/>
        <v>#NUM!</v>
      </c>
      <c r="DO62" t="e">
        <f t="shared" si="13"/>
        <v>#NUM!</v>
      </c>
      <c r="DP62" t="e">
        <f t="shared" si="13"/>
        <v>#NUM!</v>
      </c>
      <c r="DQ62" t="s">
        <v>25</v>
      </c>
    </row>
    <row r="63" spans="13:121" x14ac:dyDescent="0.25">
      <c r="T63" t="s">
        <v>26</v>
      </c>
      <c r="U63">
        <f t="shared" si="14"/>
        <v>0</v>
      </c>
      <c r="V63" t="e">
        <f t="shared" si="15"/>
        <v>#NUM!</v>
      </c>
      <c r="W63" t="e">
        <f t="shared" si="15"/>
        <v>#NUM!</v>
      </c>
      <c r="X63" t="e">
        <f t="shared" si="15"/>
        <v>#NUM!</v>
      </c>
      <c r="Y63" t="e">
        <f t="shared" si="15"/>
        <v>#NUM!</v>
      </c>
      <c r="Z63" t="e">
        <f t="shared" si="15"/>
        <v>#NUM!</v>
      </c>
      <c r="AA63" t="e">
        <f t="shared" si="15"/>
        <v>#NUM!</v>
      </c>
      <c r="AB63" t="e">
        <f t="shared" si="15"/>
        <v>#NUM!</v>
      </c>
      <c r="AC63" t="e">
        <f t="shared" si="15"/>
        <v>#NUM!</v>
      </c>
      <c r="AD63" t="e">
        <f t="shared" si="15"/>
        <v>#NUM!</v>
      </c>
      <c r="AE63" t="e">
        <f t="shared" si="15"/>
        <v>#NUM!</v>
      </c>
      <c r="AF63" t="e">
        <f t="shared" si="15"/>
        <v>#NUM!</v>
      </c>
      <c r="AG63" t="e">
        <f t="shared" si="15"/>
        <v>#NUM!</v>
      </c>
      <c r="AH63" t="e">
        <f t="shared" si="15"/>
        <v>#NUM!</v>
      </c>
      <c r="AI63" t="e">
        <f t="shared" si="15"/>
        <v>#NUM!</v>
      </c>
      <c r="AJ63" t="e">
        <f t="shared" si="15"/>
        <v>#NUM!</v>
      </c>
      <c r="AK63" t="e">
        <f t="shared" si="15"/>
        <v>#NUM!</v>
      </c>
      <c r="AL63" t="e">
        <f t="shared" ref="AL63:CM64" si="17">IF(AK$71=$T63,AK63-1,AK63)</f>
        <v>#NUM!</v>
      </c>
      <c r="AM63" t="e">
        <f t="shared" si="17"/>
        <v>#NUM!</v>
      </c>
      <c r="AN63" t="e">
        <f t="shared" si="17"/>
        <v>#NUM!</v>
      </c>
      <c r="AO63" t="e">
        <f t="shared" si="17"/>
        <v>#NUM!</v>
      </c>
      <c r="AP63" t="e">
        <f t="shared" si="17"/>
        <v>#NUM!</v>
      </c>
      <c r="AQ63" t="e">
        <f t="shared" si="17"/>
        <v>#NUM!</v>
      </c>
      <c r="AR63" t="e">
        <f t="shared" si="17"/>
        <v>#NUM!</v>
      </c>
      <c r="AS63" t="e">
        <f t="shared" si="17"/>
        <v>#NUM!</v>
      </c>
      <c r="AT63" t="e">
        <f t="shared" si="17"/>
        <v>#NUM!</v>
      </c>
      <c r="AU63" t="e">
        <f t="shared" si="17"/>
        <v>#NUM!</v>
      </c>
      <c r="AV63" t="e">
        <f t="shared" si="17"/>
        <v>#NUM!</v>
      </c>
      <c r="AW63" t="e">
        <f t="shared" si="17"/>
        <v>#NUM!</v>
      </c>
      <c r="AX63" t="e">
        <f t="shared" si="17"/>
        <v>#NUM!</v>
      </c>
      <c r="AY63" t="e">
        <f t="shared" si="17"/>
        <v>#NUM!</v>
      </c>
      <c r="AZ63" t="e">
        <f t="shared" si="17"/>
        <v>#NUM!</v>
      </c>
      <c r="BA63" t="e">
        <f t="shared" si="17"/>
        <v>#NUM!</v>
      </c>
      <c r="BB63" t="e">
        <f t="shared" si="17"/>
        <v>#NUM!</v>
      </c>
      <c r="BC63" t="e">
        <f t="shared" si="17"/>
        <v>#NUM!</v>
      </c>
      <c r="BD63" t="e">
        <f t="shared" si="17"/>
        <v>#NUM!</v>
      </c>
      <c r="BE63" t="e">
        <f t="shared" si="17"/>
        <v>#NUM!</v>
      </c>
      <c r="BF63" t="e">
        <f t="shared" si="17"/>
        <v>#NUM!</v>
      </c>
      <c r="BG63" t="e">
        <f t="shared" si="17"/>
        <v>#NUM!</v>
      </c>
      <c r="BH63" t="e">
        <f t="shared" si="17"/>
        <v>#NUM!</v>
      </c>
      <c r="BI63" t="e">
        <f t="shared" si="17"/>
        <v>#NUM!</v>
      </c>
      <c r="BJ63" t="e">
        <f t="shared" si="17"/>
        <v>#NUM!</v>
      </c>
      <c r="BK63" t="e">
        <f t="shared" si="17"/>
        <v>#NUM!</v>
      </c>
      <c r="BL63" t="e">
        <f t="shared" si="17"/>
        <v>#NUM!</v>
      </c>
      <c r="BM63" t="e">
        <f t="shared" si="17"/>
        <v>#NUM!</v>
      </c>
      <c r="BN63" t="e">
        <f t="shared" si="17"/>
        <v>#NUM!</v>
      </c>
      <c r="BO63" t="e">
        <f t="shared" si="17"/>
        <v>#NUM!</v>
      </c>
      <c r="BP63" t="e">
        <f t="shared" si="17"/>
        <v>#NUM!</v>
      </c>
      <c r="BQ63" t="e">
        <f t="shared" si="17"/>
        <v>#NUM!</v>
      </c>
      <c r="BR63" t="e">
        <f t="shared" si="17"/>
        <v>#NUM!</v>
      </c>
      <c r="BS63" t="e">
        <f t="shared" si="17"/>
        <v>#NUM!</v>
      </c>
      <c r="BT63" t="e">
        <f t="shared" si="17"/>
        <v>#NUM!</v>
      </c>
      <c r="BU63" t="e">
        <f t="shared" si="17"/>
        <v>#NUM!</v>
      </c>
      <c r="BV63" t="e">
        <f t="shared" si="17"/>
        <v>#NUM!</v>
      </c>
      <c r="BW63" t="e">
        <f t="shared" si="17"/>
        <v>#NUM!</v>
      </c>
      <c r="BX63" t="e">
        <f t="shared" si="17"/>
        <v>#NUM!</v>
      </c>
      <c r="BY63" t="e">
        <f t="shared" si="17"/>
        <v>#NUM!</v>
      </c>
      <c r="BZ63" t="e">
        <f t="shared" si="17"/>
        <v>#NUM!</v>
      </c>
      <c r="CA63" t="e">
        <f t="shared" si="17"/>
        <v>#NUM!</v>
      </c>
      <c r="CB63" t="e">
        <f t="shared" si="17"/>
        <v>#NUM!</v>
      </c>
      <c r="CC63" t="e">
        <f t="shared" si="17"/>
        <v>#NUM!</v>
      </c>
      <c r="CD63" t="e">
        <f t="shared" si="17"/>
        <v>#NUM!</v>
      </c>
      <c r="CE63" t="e">
        <f t="shared" si="17"/>
        <v>#NUM!</v>
      </c>
      <c r="CF63" t="e">
        <f t="shared" si="17"/>
        <v>#NUM!</v>
      </c>
      <c r="CG63" t="e">
        <f t="shared" si="17"/>
        <v>#NUM!</v>
      </c>
      <c r="CH63" t="e">
        <f t="shared" si="17"/>
        <v>#NUM!</v>
      </c>
      <c r="CI63" t="e">
        <f t="shared" si="17"/>
        <v>#NUM!</v>
      </c>
      <c r="CJ63" t="e">
        <f t="shared" si="17"/>
        <v>#NUM!</v>
      </c>
      <c r="CK63" t="e">
        <f t="shared" si="17"/>
        <v>#NUM!</v>
      </c>
      <c r="CL63" t="e">
        <f t="shared" si="17"/>
        <v>#NUM!</v>
      </c>
      <c r="CM63" t="e">
        <f t="shared" si="17"/>
        <v>#NUM!</v>
      </c>
      <c r="CN63" t="e">
        <f t="shared" si="13"/>
        <v>#NUM!</v>
      </c>
      <c r="CO63" t="e">
        <f t="shared" si="13"/>
        <v>#NUM!</v>
      </c>
      <c r="CP63" t="e">
        <f t="shared" si="13"/>
        <v>#NUM!</v>
      </c>
      <c r="CQ63" t="e">
        <f t="shared" si="13"/>
        <v>#NUM!</v>
      </c>
      <c r="CR63" t="e">
        <f t="shared" si="13"/>
        <v>#NUM!</v>
      </c>
      <c r="CS63" t="e">
        <f t="shared" si="13"/>
        <v>#NUM!</v>
      </c>
      <c r="CT63" t="e">
        <f t="shared" si="13"/>
        <v>#NUM!</v>
      </c>
      <c r="CU63" t="e">
        <f t="shared" si="13"/>
        <v>#NUM!</v>
      </c>
      <c r="CV63" t="e">
        <f t="shared" si="13"/>
        <v>#NUM!</v>
      </c>
      <c r="CW63" t="e">
        <f t="shared" si="13"/>
        <v>#NUM!</v>
      </c>
      <c r="CX63" t="e">
        <f t="shared" si="13"/>
        <v>#NUM!</v>
      </c>
      <c r="CY63" t="e">
        <f t="shared" si="13"/>
        <v>#NUM!</v>
      </c>
      <c r="CZ63" t="e">
        <f t="shared" si="13"/>
        <v>#NUM!</v>
      </c>
      <c r="DA63" t="e">
        <f t="shared" si="13"/>
        <v>#NUM!</v>
      </c>
      <c r="DB63" t="e">
        <f t="shared" si="13"/>
        <v>#NUM!</v>
      </c>
      <c r="DC63" t="e">
        <f t="shared" si="13"/>
        <v>#NUM!</v>
      </c>
      <c r="DD63" t="e">
        <f t="shared" si="13"/>
        <v>#NUM!</v>
      </c>
      <c r="DE63" t="e">
        <f t="shared" si="13"/>
        <v>#NUM!</v>
      </c>
      <c r="DF63" t="e">
        <f t="shared" si="13"/>
        <v>#NUM!</v>
      </c>
      <c r="DG63" t="e">
        <f t="shared" si="13"/>
        <v>#NUM!</v>
      </c>
      <c r="DH63" t="e">
        <f t="shared" si="13"/>
        <v>#NUM!</v>
      </c>
      <c r="DI63" t="e">
        <f t="shared" si="13"/>
        <v>#NUM!</v>
      </c>
      <c r="DJ63" t="e">
        <f t="shared" si="13"/>
        <v>#NUM!</v>
      </c>
      <c r="DK63" t="e">
        <f t="shared" si="13"/>
        <v>#NUM!</v>
      </c>
      <c r="DL63" t="e">
        <f t="shared" si="13"/>
        <v>#NUM!</v>
      </c>
      <c r="DM63" t="e">
        <f t="shared" si="13"/>
        <v>#NUM!</v>
      </c>
      <c r="DN63" t="e">
        <f t="shared" si="13"/>
        <v>#NUM!</v>
      </c>
      <c r="DO63" t="e">
        <f t="shared" si="13"/>
        <v>#NUM!</v>
      </c>
      <c r="DP63" t="e">
        <f t="shared" si="13"/>
        <v>#NUM!</v>
      </c>
      <c r="DQ63" t="s">
        <v>26</v>
      </c>
    </row>
    <row r="64" spans="13:121" x14ac:dyDescent="0.25">
      <c r="T64" t="s">
        <v>27</v>
      </c>
      <c r="U64">
        <f t="shared" si="14"/>
        <v>0</v>
      </c>
      <c r="V64" t="e">
        <f t="shared" si="15"/>
        <v>#NUM!</v>
      </c>
      <c r="W64" t="e">
        <f t="shared" si="15"/>
        <v>#NUM!</v>
      </c>
      <c r="X64" t="e">
        <f t="shared" si="15"/>
        <v>#NUM!</v>
      </c>
      <c r="Y64" t="e">
        <f t="shared" si="15"/>
        <v>#NUM!</v>
      </c>
      <c r="Z64" t="e">
        <f t="shared" si="15"/>
        <v>#NUM!</v>
      </c>
      <c r="AA64" t="e">
        <f t="shared" si="15"/>
        <v>#NUM!</v>
      </c>
      <c r="AB64" t="e">
        <f t="shared" si="15"/>
        <v>#NUM!</v>
      </c>
      <c r="AC64" t="e">
        <f t="shared" si="15"/>
        <v>#NUM!</v>
      </c>
      <c r="AD64" t="e">
        <f t="shared" si="15"/>
        <v>#NUM!</v>
      </c>
      <c r="AE64" t="e">
        <f t="shared" si="15"/>
        <v>#NUM!</v>
      </c>
      <c r="AF64" t="e">
        <f t="shared" si="15"/>
        <v>#NUM!</v>
      </c>
      <c r="AG64" t="e">
        <f t="shared" si="15"/>
        <v>#NUM!</v>
      </c>
      <c r="AH64" t="e">
        <f t="shared" si="15"/>
        <v>#NUM!</v>
      </c>
      <c r="AI64" t="e">
        <f t="shared" si="15"/>
        <v>#NUM!</v>
      </c>
      <c r="AJ64" t="e">
        <f t="shared" si="15"/>
        <v>#NUM!</v>
      </c>
      <c r="AK64" t="e">
        <f t="shared" si="15"/>
        <v>#NUM!</v>
      </c>
      <c r="AL64" t="e">
        <f t="shared" si="17"/>
        <v>#NUM!</v>
      </c>
      <c r="AM64" t="e">
        <f t="shared" si="17"/>
        <v>#NUM!</v>
      </c>
      <c r="AN64" t="e">
        <f t="shared" si="17"/>
        <v>#NUM!</v>
      </c>
      <c r="AO64" t="e">
        <f t="shared" si="17"/>
        <v>#NUM!</v>
      </c>
      <c r="AP64" t="e">
        <f t="shared" si="17"/>
        <v>#NUM!</v>
      </c>
      <c r="AQ64" t="e">
        <f t="shared" si="17"/>
        <v>#NUM!</v>
      </c>
      <c r="AR64" t="e">
        <f t="shared" si="17"/>
        <v>#NUM!</v>
      </c>
      <c r="AS64" t="e">
        <f t="shared" si="17"/>
        <v>#NUM!</v>
      </c>
      <c r="AT64" t="e">
        <f t="shared" si="17"/>
        <v>#NUM!</v>
      </c>
      <c r="AU64" t="e">
        <f t="shared" si="17"/>
        <v>#NUM!</v>
      </c>
      <c r="AV64" t="e">
        <f t="shared" si="17"/>
        <v>#NUM!</v>
      </c>
      <c r="AW64" t="e">
        <f t="shared" si="17"/>
        <v>#NUM!</v>
      </c>
      <c r="AX64" t="e">
        <f t="shared" si="17"/>
        <v>#NUM!</v>
      </c>
      <c r="AY64" t="e">
        <f t="shared" si="17"/>
        <v>#NUM!</v>
      </c>
      <c r="AZ64" t="e">
        <f t="shared" si="17"/>
        <v>#NUM!</v>
      </c>
      <c r="BA64" t="e">
        <f t="shared" si="17"/>
        <v>#NUM!</v>
      </c>
      <c r="BB64" t="e">
        <f t="shared" si="17"/>
        <v>#NUM!</v>
      </c>
      <c r="BC64" t="e">
        <f t="shared" si="17"/>
        <v>#NUM!</v>
      </c>
      <c r="BD64" t="e">
        <f t="shared" si="17"/>
        <v>#NUM!</v>
      </c>
      <c r="BE64" t="e">
        <f t="shared" si="17"/>
        <v>#NUM!</v>
      </c>
      <c r="BF64" t="e">
        <f t="shared" si="17"/>
        <v>#NUM!</v>
      </c>
      <c r="BG64" t="e">
        <f t="shared" si="17"/>
        <v>#NUM!</v>
      </c>
      <c r="BH64" t="e">
        <f t="shared" si="17"/>
        <v>#NUM!</v>
      </c>
      <c r="BI64" t="e">
        <f t="shared" si="17"/>
        <v>#NUM!</v>
      </c>
      <c r="BJ64" t="e">
        <f t="shared" si="17"/>
        <v>#NUM!</v>
      </c>
      <c r="BK64" t="e">
        <f t="shared" si="17"/>
        <v>#NUM!</v>
      </c>
      <c r="BL64" t="e">
        <f t="shared" si="17"/>
        <v>#NUM!</v>
      </c>
      <c r="BM64" t="e">
        <f t="shared" si="17"/>
        <v>#NUM!</v>
      </c>
      <c r="BN64" t="e">
        <f t="shared" si="17"/>
        <v>#NUM!</v>
      </c>
      <c r="BO64" t="e">
        <f t="shared" si="17"/>
        <v>#NUM!</v>
      </c>
      <c r="BP64" t="e">
        <f t="shared" si="17"/>
        <v>#NUM!</v>
      </c>
      <c r="BQ64" t="e">
        <f t="shared" si="17"/>
        <v>#NUM!</v>
      </c>
      <c r="BR64" t="e">
        <f t="shared" si="17"/>
        <v>#NUM!</v>
      </c>
      <c r="BS64" t="e">
        <f t="shared" si="17"/>
        <v>#NUM!</v>
      </c>
      <c r="BT64" t="e">
        <f t="shared" si="17"/>
        <v>#NUM!</v>
      </c>
      <c r="BU64" t="e">
        <f t="shared" si="17"/>
        <v>#NUM!</v>
      </c>
      <c r="BV64" t="e">
        <f t="shared" si="17"/>
        <v>#NUM!</v>
      </c>
      <c r="BW64" t="e">
        <f t="shared" si="17"/>
        <v>#NUM!</v>
      </c>
      <c r="BX64" t="e">
        <f t="shared" si="17"/>
        <v>#NUM!</v>
      </c>
      <c r="BY64" t="e">
        <f t="shared" si="17"/>
        <v>#NUM!</v>
      </c>
      <c r="BZ64" t="e">
        <f t="shared" si="17"/>
        <v>#NUM!</v>
      </c>
      <c r="CA64" t="e">
        <f t="shared" si="17"/>
        <v>#NUM!</v>
      </c>
      <c r="CB64" t="e">
        <f t="shared" si="17"/>
        <v>#NUM!</v>
      </c>
      <c r="CC64" t="e">
        <f t="shared" si="17"/>
        <v>#NUM!</v>
      </c>
      <c r="CD64" t="e">
        <f t="shared" si="17"/>
        <v>#NUM!</v>
      </c>
      <c r="CE64" t="e">
        <f t="shared" si="17"/>
        <v>#NUM!</v>
      </c>
      <c r="CF64" t="e">
        <f t="shared" si="17"/>
        <v>#NUM!</v>
      </c>
      <c r="CG64" t="e">
        <f t="shared" si="17"/>
        <v>#NUM!</v>
      </c>
      <c r="CH64" t="e">
        <f t="shared" si="17"/>
        <v>#NUM!</v>
      </c>
      <c r="CI64" t="e">
        <f t="shared" si="17"/>
        <v>#NUM!</v>
      </c>
      <c r="CJ64" t="e">
        <f t="shared" si="17"/>
        <v>#NUM!</v>
      </c>
      <c r="CK64" t="e">
        <f t="shared" si="17"/>
        <v>#NUM!</v>
      </c>
      <c r="CL64" t="e">
        <f t="shared" si="17"/>
        <v>#NUM!</v>
      </c>
      <c r="CM64" t="e">
        <f t="shared" si="17"/>
        <v>#NUM!</v>
      </c>
      <c r="CN64" t="e">
        <f t="shared" si="13"/>
        <v>#NUM!</v>
      </c>
      <c r="CO64" t="e">
        <f t="shared" si="13"/>
        <v>#NUM!</v>
      </c>
      <c r="CP64" t="e">
        <f t="shared" si="13"/>
        <v>#NUM!</v>
      </c>
      <c r="CQ64" t="e">
        <f t="shared" si="13"/>
        <v>#NUM!</v>
      </c>
      <c r="CR64" t="e">
        <f t="shared" si="13"/>
        <v>#NUM!</v>
      </c>
      <c r="CS64" t="e">
        <f t="shared" si="13"/>
        <v>#NUM!</v>
      </c>
      <c r="CT64" t="e">
        <f t="shared" si="13"/>
        <v>#NUM!</v>
      </c>
      <c r="CU64" t="e">
        <f t="shared" si="13"/>
        <v>#NUM!</v>
      </c>
      <c r="CV64" t="e">
        <f t="shared" si="13"/>
        <v>#NUM!</v>
      </c>
      <c r="CW64" t="e">
        <f t="shared" si="13"/>
        <v>#NUM!</v>
      </c>
      <c r="CX64" t="e">
        <f t="shared" si="13"/>
        <v>#NUM!</v>
      </c>
      <c r="CY64" t="e">
        <f t="shared" si="13"/>
        <v>#NUM!</v>
      </c>
      <c r="CZ64" t="e">
        <f t="shared" si="13"/>
        <v>#NUM!</v>
      </c>
      <c r="DA64" t="e">
        <f t="shared" si="13"/>
        <v>#NUM!</v>
      </c>
      <c r="DB64" t="e">
        <f t="shared" si="13"/>
        <v>#NUM!</v>
      </c>
      <c r="DC64" t="e">
        <f t="shared" si="13"/>
        <v>#NUM!</v>
      </c>
      <c r="DD64" t="e">
        <f t="shared" si="13"/>
        <v>#NUM!</v>
      </c>
      <c r="DE64" t="e">
        <f t="shared" si="13"/>
        <v>#NUM!</v>
      </c>
      <c r="DF64" t="e">
        <f t="shared" si="13"/>
        <v>#NUM!</v>
      </c>
      <c r="DG64" t="e">
        <f t="shared" si="13"/>
        <v>#NUM!</v>
      </c>
      <c r="DH64" t="e">
        <f t="shared" si="13"/>
        <v>#NUM!</v>
      </c>
      <c r="DI64" t="e">
        <f t="shared" si="13"/>
        <v>#NUM!</v>
      </c>
      <c r="DJ64" t="e">
        <f t="shared" si="13"/>
        <v>#NUM!</v>
      </c>
      <c r="DK64" t="e">
        <f t="shared" si="13"/>
        <v>#NUM!</v>
      </c>
      <c r="DL64" t="e">
        <f t="shared" si="13"/>
        <v>#NUM!</v>
      </c>
      <c r="DM64" t="e">
        <f t="shared" si="13"/>
        <v>#NUM!</v>
      </c>
      <c r="DN64" t="e">
        <f t="shared" si="13"/>
        <v>#NUM!</v>
      </c>
      <c r="DO64" t="e">
        <f t="shared" si="13"/>
        <v>#NUM!</v>
      </c>
      <c r="DP64" t="e">
        <f t="shared" si="13"/>
        <v>#NUM!</v>
      </c>
      <c r="DQ64" t="s">
        <v>27</v>
      </c>
    </row>
    <row r="66" spans="20:121" x14ac:dyDescent="0.25">
      <c r="T66" t="s">
        <v>15</v>
      </c>
      <c r="U66">
        <f>Q55</f>
        <v>0</v>
      </c>
      <c r="V66">
        <f>IF(U$73=$T66,U66-1,U66)</f>
        <v>-1</v>
      </c>
      <c r="W66">
        <f>IF(V$73=$T66,V66-1,V66)</f>
        <v>-1</v>
      </c>
      <c r="X66">
        <f t="shared" ref="X66:CI68" si="18">IF(W$73=$T66,W66-1,W66)</f>
        <v>-1</v>
      </c>
      <c r="Y66">
        <f t="shared" si="18"/>
        <v>-2</v>
      </c>
      <c r="Z66">
        <f t="shared" si="18"/>
        <v>-2</v>
      </c>
      <c r="AA66">
        <f t="shared" si="18"/>
        <v>-2</v>
      </c>
      <c r="AB66">
        <f t="shared" si="18"/>
        <v>-3</v>
      </c>
      <c r="AC66">
        <f t="shared" si="18"/>
        <v>-3</v>
      </c>
      <c r="AD66">
        <f t="shared" si="18"/>
        <v>-3</v>
      </c>
      <c r="AE66">
        <f t="shared" si="18"/>
        <v>-4</v>
      </c>
      <c r="AF66">
        <f t="shared" si="18"/>
        <v>-4</v>
      </c>
      <c r="AG66">
        <f t="shared" si="18"/>
        <v>-4</v>
      </c>
      <c r="AH66">
        <f t="shared" si="18"/>
        <v>-5</v>
      </c>
      <c r="AI66">
        <f t="shared" si="18"/>
        <v>-5</v>
      </c>
      <c r="AJ66">
        <f t="shared" si="18"/>
        <v>-5</v>
      </c>
      <c r="AK66">
        <f t="shared" si="18"/>
        <v>-6</v>
      </c>
      <c r="AL66">
        <f t="shared" si="18"/>
        <v>-6</v>
      </c>
      <c r="AM66">
        <f t="shared" si="18"/>
        <v>-6</v>
      </c>
      <c r="AN66">
        <f t="shared" si="18"/>
        <v>-7</v>
      </c>
      <c r="AO66">
        <f t="shared" si="18"/>
        <v>-7</v>
      </c>
      <c r="AP66">
        <f t="shared" si="18"/>
        <v>-7</v>
      </c>
      <c r="AQ66">
        <f t="shared" si="18"/>
        <v>-8</v>
      </c>
      <c r="AR66">
        <f t="shared" si="18"/>
        <v>-8</v>
      </c>
      <c r="AS66">
        <f t="shared" si="18"/>
        <v>-8</v>
      </c>
      <c r="AT66">
        <f t="shared" si="18"/>
        <v>-9</v>
      </c>
      <c r="AU66">
        <f t="shared" si="18"/>
        <v>-9</v>
      </c>
      <c r="AV66">
        <f t="shared" si="18"/>
        <v>-9</v>
      </c>
      <c r="AW66">
        <f t="shared" si="18"/>
        <v>-10</v>
      </c>
      <c r="AX66">
        <f t="shared" si="18"/>
        <v>-10</v>
      </c>
      <c r="AY66">
        <f t="shared" si="18"/>
        <v>-10</v>
      </c>
      <c r="AZ66">
        <f t="shared" si="18"/>
        <v>-11</v>
      </c>
      <c r="BA66">
        <f t="shared" si="18"/>
        <v>-11</v>
      </c>
      <c r="BB66">
        <f t="shared" si="18"/>
        <v>-11</v>
      </c>
      <c r="BC66">
        <f t="shared" si="18"/>
        <v>-12</v>
      </c>
      <c r="BD66">
        <f t="shared" si="18"/>
        <v>-12</v>
      </c>
      <c r="BE66">
        <f t="shared" si="18"/>
        <v>-12</v>
      </c>
      <c r="BF66">
        <f t="shared" si="18"/>
        <v>-13</v>
      </c>
      <c r="BG66">
        <f t="shared" si="18"/>
        <v>-13</v>
      </c>
      <c r="BH66">
        <f t="shared" si="18"/>
        <v>-13</v>
      </c>
      <c r="BI66">
        <f t="shared" si="18"/>
        <v>-14</v>
      </c>
      <c r="BJ66">
        <f t="shared" si="18"/>
        <v>-14</v>
      </c>
      <c r="BK66">
        <f t="shared" si="18"/>
        <v>-14</v>
      </c>
      <c r="BL66">
        <f t="shared" si="18"/>
        <v>-15</v>
      </c>
      <c r="BM66">
        <f t="shared" si="18"/>
        <v>-15</v>
      </c>
      <c r="BN66">
        <f t="shared" si="18"/>
        <v>-15</v>
      </c>
      <c r="BO66">
        <f t="shared" si="18"/>
        <v>-16</v>
      </c>
      <c r="BP66">
        <f t="shared" si="18"/>
        <v>-16</v>
      </c>
      <c r="BQ66">
        <f t="shared" si="18"/>
        <v>-16</v>
      </c>
      <c r="BR66">
        <f t="shared" si="18"/>
        <v>-17</v>
      </c>
      <c r="BS66">
        <f t="shared" si="18"/>
        <v>-17</v>
      </c>
      <c r="BT66">
        <f t="shared" si="18"/>
        <v>-17</v>
      </c>
      <c r="BU66">
        <f t="shared" si="18"/>
        <v>-18</v>
      </c>
      <c r="BV66">
        <f t="shared" si="18"/>
        <v>-18</v>
      </c>
      <c r="BW66">
        <f t="shared" si="18"/>
        <v>-18</v>
      </c>
      <c r="BX66">
        <f t="shared" si="18"/>
        <v>-19</v>
      </c>
      <c r="BY66">
        <f t="shared" si="18"/>
        <v>-19</v>
      </c>
      <c r="BZ66">
        <f t="shared" si="18"/>
        <v>-19</v>
      </c>
      <c r="CA66">
        <f t="shared" si="18"/>
        <v>-20</v>
      </c>
      <c r="CB66">
        <f t="shared" si="18"/>
        <v>-20</v>
      </c>
      <c r="CC66">
        <f t="shared" si="18"/>
        <v>-20</v>
      </c>
      <c r="CD66">
        <f t="shared" si="18"/>
        <v>-21</v>
      </c>
      <c r="CE66">
        <f t="shared" si="18"/>
        <v>-21</v>
      </c>
      <c r="CF66">
        <f t="shared" si="18"/>
        <v>-21</v>
      </c>
      <c r="CG66">
        <f t="shared" si="18"/>
        <v>-22</v>
      </c>
      <c r="CH66">
        <f t="shared" si="18"/>
        <v>-22</v>
      </c>
      <c r="CI66">
        <f t="shared" si="18"/>
        <v>-22</v>
      </c>
      <c r="CJ66">
        <f t="shared" ref="CJ66:DP68" si="19">IF(CI$73=$T66,CI66-1,CI66)</f>
        <v>-23</v>
      </c>
      <c r="CK66">
        <f t="shared" si="19"/>
        <v>-23</v>
      </c>
      <c r="CL66">
        <f t="shared" si="19"/>
        <v>-23</v>
      </c>
      <c r="CM66">
        <f t="shared" si="19"/>
        <v>-24</v>
      </c>
      <c r="CN66">
        <f t="shared" si="19"/>
        <v>-24</v>
      </c>
      <c r="CO66">
        <f t="shared" si="19"/>
        <v>-24</v>
      </c>
      <c r="CP66">
        <f t="shared" si="19"/>
        <v>-25</v>
      </c>
      <c r="CQ66">
        <f t="shared" si="19"/>
        <v>-25</v>
      </c>
      <c r="CR66">
        <f t="shared" si="19"/>
        <v>-25</v>
      </c>
      <c r="CS66">
        <f t="shared" si="19"/>
        <v>-26</v>
      </c>
      <c r="CT66">
        <f t="shared" si="19"/>
        <v>-26</v>
      </c>
      <c r="CU66">
        <f t="shared" si="19"/>
        <v>-26</v>
      </c>
      <c r="CV66">
        <f t="shared" si="19"/>
        <v>-27</v>
      </c>
      <c r="CW66">
        <f t="shared" si="19"/>
        <v>-27</v>
      </c>
      <c r="CX66">
        <f t="shared" si="19"/>
        <v>-27</v>
      </c>
      <c r="CY66">
        <f t="shared" si="19"/>
        <v>-28</v>
      </c>
      <c r="CZ66">
        <f t="shared" si="19"/>
        <v>-28</v>
      </c>
      <c r="DA66">
        <f t="shared" si="19"/>
        <v>-28</v>
      </c>
      <c r="DB66">
        <f t="shared" si="19"/>
        <v>-29</v>
      </c>
      <c r="DC66">
        <f t="shared" si="19"/>
        <v>-29</v>
      </c>
      <c r="DD66">
        <f t="shared" si="19"/>
        <v>-29</v>
      </c>
      <c r="DE66">
        <f t="shared" si="19"/>
        <v>-30</v>
      </c>
      <c r="DF66">
        <f t="shared" si="19"/>
        <v>-30</v>
      </c>
      <c r="DG66">
        <f t="shared" si="19"/>
        <v>-30</v>
      </c>
      <c r="DH66">
        <f t="shared" si="19"/>
        <v>-31</v>
      </c>
      <c r="DI66">
        <f t="shared" si="19"/>
        <v>-31</v>
      </c>
      <c r="DJ66">
        <f t="shared" si="19"/>
        <v>-31</v>
      </c>
      <c r="DK66">
        <f t="shared" si="19"/>
        <v>-32</v>
      </c>
      <c r="DL66">
        <f t="shared" si="19"/>
        <v>-32</v>
      </c>
      <c r="DM66">
        <f t="shared" si="19"/>
        <v>-32</v>
      </c>
      <c r="DN66">
        <f t="shared" si="19"/>
        <v>-33</v>
      </c>
      <c r="DO66">
        <f t="shared" si="19"/>
        <v>-33</v>
      </c>
      <c r="DP66">
        <f t="shared" si="19"/>
        <v>-33</v>
      </c>
      <c r="DQ66" t="s">
        <v>15</v>
      </c>
    </row>
    <row r="67" spans="20:121" x14ac:dyDescent="0.25">
      <c r="T67" t="s">
        <v>17</v>
      </c>
      <c r="U67">
        <f t="shared" ref="U67:U68" si="20">Q56</f>
        <v>0</v>
      </c>
      <c r="V67">
        <f t="shared" ref="V67:W68" si="21">IF(U$73=$T67,U67-1,U67)</f>
        <v>0</v>
      </c>
      <c r="W67">
        <f t="shared" si="21"/>
        <v>-1</v>
      </c>
      <c r="X67">
        <f t="shared" si="18"/>
        <v>-1</v>
      </c>
      <c r="Y67">
        <f t="shared" si="18"/>
        <v>-1</v>
      </c>
      <c r="Z67">
        <f t="shared" si="18"/>
        <v>-2</v>
      </c>
      <c r="AA67">
        <f t="shared" si="18"/>
        <v>-2</v>
      </c>
      <c r="AB67">
        <f t="shared" si="18"/>
        <v>-2</v>
      </c>
      <c r="AC67">
        <f t="shared" si="18"/>
        <v>-3</v>
      </c>
      <c r="AD67">
        <f t="shared" si="18"/>
        <v>-3</v>
      </c>
      <c r="AE67">
        <f t="shared" si="18"/>
        <v>-3</v>
      </c>
      <c r="AF67">
        <f t="shared" si="18"/>
        <v>-4</v>
      </c>
      <c r="AG67">
        <f t="shared" si="18"/>
        <v>-4</v>
      </c>
      <c r="AH67">
        <f t="shared" si="18"/>
        <v>-4</v>
      </c>
      <c r="AI67">
        <f t="shared" si="18"/>
        <v>-5</v>
      </c>
      <c r="AJ67">
        <f t="shared" si="18"/>
        <v>-5</v>
      </c>
      <c r="AK67">
        <f t="shared" si="18"/>
        <v>-5</v>
      </c>
      <c r="AL67">
        <f t="shared" si="18"/>
        <v>-6</v>
      </c>
      <c r="AM67">
        <f t="shared" si="18"/>
        <v>-6</v>
      </c>
      <c r="AN67">
        <f t="shared" si="18"/>
        <v>-6</v>
      </c>
      <c r="AO67">
        <f t="shared" si="18"/>
        <v>-7</v>
      </c>
      <c r="AP67">
        <f t="shared" si="18"/>
        <v>-7</v>
      </c>
      <c r="AQ67">
        <f t="shared" si="18"/>
        <v>-7</v>
      </c>
      <c r="AR67">
        <f t="shared" si="18"/>
        <v>-8</v>
      </c>
      <c r="AS67">
        <f t="shared" si="18"/>
        <v>-8</v>
      </c>
      <c r="AT67">
        <f t="shared" si="18"/>
        <v>-8</v>
      </c>
      <c r="AU67">
        <f t="shared" si="18"/>
        <v>-9</v>
      </c>
      <c r="AV67">
        <f t="shared" si="18"/>
        <v>-9</v>
      </c>
      <c r="AW67">
        <f t="shared" si="18"/>
        <v>-9</v>
      </c>
      <c r="AX67">
        <f t="shared" si="18"/>
        <v>-10</v>
      </c>
      <c r="AY67">
        <f t="shared" si="18"/>
        <v>-10</v>
      </c>
      <c r="AZ67">
        <f t="shared" si="18"/>
        <v>-10</v>
      </c>
      <c r="BA67">
        <f t="shared" si="18"/>
        <v>-11</v>
      </c>
      <c r="BB67">
        <f t="shared" si="18"/>
        <v>-11</v>
      </c>
      <c r="BC67">
        <f t="shared" si="18"/>
        <v>-11</v>
      </c>
      <c r="BD67">
        <f t="shared" si="18"/>
        <v>-12</v>
      </c>
      <c r="BE67">
        <f t="shared" si="18"/>
        <v>-12</v>
      </c>
      <c r="BF67">
        <f t="shared" si="18"/>
        <v>-12</v>
      </c>
      <c r="BG67">
        <f t="shared" si="18"/>
        <v>-13</v>
      </c>
      <c r="BH67">
        <f t="shared" si="18"/>
        <v>-13</v>
      </c>
      <c r="BI67">
        <f t="shared" si="18"/>
        <v>-13</v>
      </c>
      <c r="BJ67">
        <f t="shared" si="18"/>
        <v>-14</v>
      </c>
      <c r="BK67">
        <f t="shared" si="18"/>
        <v>-14</v>
      </c>
      <c r="BL67">
        <f t="shared" si="18"/>
        <v>-14</v>
      </c>
      <c r="BM67">
        <f t="shared" si="18"/>
        <v>-15</v>
      </c>
      <c r="BN67">
        <f t="shared" si="18"/>
        <v>-15</v>
      </c>
      <c r="BO67">
        <f t="shared" si="18"/>
        <v>-15</v>
      </c>
      <c r="BP67">
        <f t="shared" si="18"/>
        <v>-16</v>
      </c>
      <c r="BQ67">
        <f t="shared" si="18"/>
        <v>-16</v>
      </c>
      <c r="BR67">
        <f t="shared" si="18"/>
        <v>-16</v>
      </c>
      <c r="BS67">
        <f t="shared" si="18"/>
        <v>-17</v>
      </c>
      <c r="BT67">
        <f t="shared" si="18"/>
        <v>-17</v>
      </c>
      <c r="BU67">
        <f t="shared" si="18"/>
        <v>-17</v>
      </c>
      <c r="BV67">
        <f t="shared" si="18"/>
        <v>-18</v>
      </c>
      <c r="BW67">
        <f t="shared" si="18"/>
        <v>-18</v>
      </c>
      <c r="BX67">
        <f t="shared" si="18"/>
        <v>-18</v>
      </c>
      <c r="BY67">
        <f t="shared" si="18"/>
        <v>-19</v>
      </c>
      <c r="BZ67">
        <f t="shared" si="18"/>
        <v>-19</v>
      </c>
      <c r="CA67">
        <f t="shared" si="18"/>
        <v>-19</v>
      </c>
      <c r="CB67">
        <f t="shared" si="18"/>
        <v>-20</v>
      </c>
      <c r="CC67">
        <f t="shared" si="18"/>
        <v>-20</v>
      </c>
      <c r="CD67">
        <f t="shared" si="18"/>
        <v>-20</v>
      </c>
      <c r="CE67">
        <f t="shared" si="18"/>
        <v>-21</v>
      </c>
      <c r="CF67">
        <f t="shared" si="18"/>
        <v>-21</v>
      </c>
      <c r="CG67">
        <f t="shared" si="18"/>
        <v>-21</v>
      </c>
      <c r="CH67">
        <f t="shared" si="18"/>
        <v>-22</v>
      </c>
      <c r="CI67">
        <f t="shared" si="18"/>
        <v>-22</v>
      </c>
      <c r="CJ67">
        <f t="shared" si="19"/>
        <v>-22</v>
      </c>
      <c r="CK67">
        <f t="shared" si="19"/>
        <v>-23</v>
      </c>
      <c r="CL67">
        <f t="shared" si="19"/>
        <v>-23</v>
      </c>
      <c r="CM67">
        <f t="shared" si="19"/>
        <v>-23</v>
      </c>
      <c r="CN67">
        <f t="shared" si="19"/>
        <v>-24</v>
      </c>
      <c r="CO67">
        <f t="shared" si="19"/>
        <v>-24</v>
      </c>
      <c r="CP67">
        <f t="shared" si="19"/>
        <v>-24</v>
      </c>
      <c r="CQ67">
        <f t="shared" si="19"/>
        <v>-25</v>
      </c>
      <c r="CR67">
        <f t="shared" si="19"/>
        <v>-25</v>
      </c>
      <c r="CS67">
        <f t="shared" si="19"/>
        <v>-25</v>
      </c>
      <c r="CT67">
        <f t="shared" si="19"/>
        <v>-26</v>
      </c>
      <c r="CU67">
        <f t="shared" si="19"/>
        <v>-26</v>
      </c>
      <c r="CV67">
        <f t="shared" si="19"/>
        <v>-26</v>
      </c>
      <c r="CW67">
        <f t="shared" si="19"/>
        <v>-27</v>
      </c>
      <c r="CX67">
        <f t="shared" si="19"/>
        <v>-27</v>
      </c>
      <c r="CY67">
        <f t="shared" si="19"/>
        <v>-27</v>
      </c>
      <c r="CZ67">
        <f t="shared" si="19"/>
        <v>-28</v>
      </c>
      <c r="DA67">
        <f t="shared" si="19"/>
        <v>-28</v>
      </c>
      <c r="DB67">
        <f t="shared" si="19"/>
        <v>-28</v>
      </c>
      <c r="DC67">
        <f t="shared" si="19"/>
        <v>-29</v>
      </c>
      <c r="DD67">
        <f t="shared" si="19"/>
        <v>-29</v>
      </c>
      <c r="DE67">
        <f t="shared" si="19"/>
        <v>-29</v>
      </c>
      <c r="DF67">
        <f t="shared" si="19"/>
        <v>-30</v>
      </c>
      <c r="DG67">
        <f t="shared" si="19"/>
        <v>-30</v>
      </c>
      <c r="DH67">
        <f t="shared" si="19"/>
        <v>-30</v>
      </c>
      <c r="DI67">
        <f t="shared" si="19"/>
        <v>-31</v>
      </c>
      <c r="DJ67">
        <f t="shared" si="19"/>
        <v>-31</v>
      </c>
      <c r="DK67">
        <f t="shared" si="19"/>
        <v>-31</v>
      </c>
      <c r="DL67">
        <f t="shared" si="19"/>
        <v>-32</v>
      </c>
      <c r="DM67">
        <f t="shared" si="19"/>
        <v>-32</v>
      </c>
      <c r="DN67">
        <f t="shared" si="19"/>
        <v>-32</v>
      </c>
      <c r="DO67">
        <f t="shared" si="19"/>
        <v>-33</v>
      </c>
      <c r="DP67">
        <f t="shared" si="19"/>
        <v>-33</v>
      </c>
      <c r="DQ67" t="s">
        <v>17</v>
      </c>
    </row>
    <row r="68" spans="20:121" x14ac:dyDescent="0.25">
      <c r="T68" t="s">
        <v>19</v>
      </c>
      <c r="U68">
        <f t="shared" si="20"/>
        <v>0</v>
      </c>
      <c r="V68">
        <f t="shared" si="21"/>
        <v>0</v>
      </c>
      <c r="W68">
        <f t="shared" si="21"/>
        <v>0</v>
      </c>
      <c r="X68">
        <f t="shared" si="18"/>
        <v>-1</v>
      </c>
      <c r="Y68">
        <f t="shared" si="18"/>
        <v>-1</v>
      </c>
      <c r="Z68">
        <f t="shared" si="18"/>
        <v>-1</v>
      </c>
      <c r="AA68">
        <f t="shared" si="18"/>
        <v>-2</v>
      </c>
      <c r="AB68">
        <f t="shared" si="18"/>
        <v>-2</v>
      </c>
      <c r="AC68">
        <f t="shared" si="18"/>
        <v>-2</v>
      </c>
      <c r="AD68">
        <f t="shared" si="18"/>
        <v>-3</v>
      </c>
      <c r="AE68">
        <f t="shared" si="18"/>
        <v>-3</v>
      </c>
      <c r="AF68">
        <f t="shared" si="18"/>
        <v>-3</v>
      </c>
      <c r="AG68">
        <f t="shared" si="18"/>
        <v>-4</v>
      </c>
      <c r="AH68">
        <f t="shared" si="18"/>
        <v>-4</v>
      </c>
      <c r="AI68">
        <f t="shared" si="18"/>
        <v>-4</v>
      </c>
      <c r="AJ68">
        <f t="shared" si="18"/>
        <v>-5</v>
      </c>
      <c r="AK68">
        <f t="shared" si="18"/>
        <v>-5</v>
      </c>
      <c r="AL68">
        <f t="shared" si="18"/>
        <v>-5</v>
      </c>
      <c r="AM68">
        <f t="shared" si="18"/>
        <v>-6</v>
      </c>
      <c r="AN68">
        <f t="shared" si="18"/>
        <v>-6</v>
      </c>
      <c r="AO68">
        <f t="shared" si="18"/>
        <v>-6</v>
      </c>
      <c r="AP68">
        <f t="shared" si="18"/>
        <v>-7</v>
      </c>
      <c r="AQ68">
        <f t="shared" si="18"/>
        <v>-7</v>
      </c>
      <c r="AR68">
        <f t="shared" si="18"/>
        <v>-7</v>
      </c>
      <c r="AS68">
        <f t="shared" si="18"/>
        <v>-8</v>
      </c>
      <c r="AT68">
        <f t="shared" si="18"/>
        <v>-8</v>
      </c>
      <c r="AU68">
        <f t="shared" si="18"/>
        <v>-8</v>
      </c>
      <c r="AV68">
        <f t="shared" si="18"/>
        <v>-9</v>
      </c>
      <c r="AW68">
        <f t="shared" si="18"/>
        <v>-9</v>
      </c>
      <c r="AX68">
        <f t="shared" si="18"/>
        <v>-9</v>
      </c>
      <c r="AY68">
        <f t="shared" si="18"/>
        <v>-10</v>
      </c>
      <c r="AZ68">
        <f t="shared" si="18"/>
        <v>-10</v>
      </c>
      <c r="BA68">
        <f t="shared" si="18"/>
        <v>-10</v>
      </c>
      <c r="BB68">
        <f t="shared" si="18"/>
        <v>-11</v>
      </c>
      <c r="BC68">
        <f t="shared" si="18"/>
        <v>-11</v>
      </c>
      <c r="BD68">
        <f t="shared" si="18"/>
        <v>-11</v>
      </c>
      <c r="BE68">
        <f t="shared" si="18"/>
        <v>-12</v>
      </c>
      <c r="BF68">
        <f t="shared" si="18"/>
        <v>-12</v>
      </c>
      <c r="BG68">
        <f t="shared" si="18"/>
        <v>-12</v>
      </c>
      <c r="BH68">
        <f t="shared" si="18"/>
        <v>-13</v>
      </c>
      <c r="BI68">
        <f t="shared" si="18"/>
        <v>-13</v>
      </c>
      <c r="BJ68">
        <f t="shared" si="18"/>
        <v>-13</v>
      </c>
      <c r="BK68">
        <f t="shared" si="18"/>
        <v>-14</v>
      </c>
      <c r="BL68">
        <f t="shared" si="18"/>
        <v>-14</v>
      </c>
      <c r="BM68">
        <f t="shared" si="18"/>
        <v>-14</v>
      </c>
      <c r="BN68">
        <f t="shared" si="18"/>
        <v>-15</v>
      </c>
      <c r="BO68">
        <f t="shared" si="18"/>
        <v>-15</v>
      </c>
      <c r="BP68">
        <f t="shared" si="18"/>
        <v>-15</v>
      </c>
      <c r="BQ68">
        <f t="shared" si="18"/>
        <v>-16</v>
      </c>
      <c r="BR68">
        <f t="shared" si="18"/>
        <v>-16</v>
      </c>
      <c r="BS68">
        <f t="shared" si="18"/>
        <v>-16</v>
      </c>
      <c r="BT68">
        <f t="shared" si="18"/>
        <v>-17</v>
      </c>
      <c r="BU68">
        <f t="shared" si="18"/>
        <v>-17</v>
      </c>
      <c r="BV68">
        <f t="shared" si="18"/>
        <v>-17</v>
      </c>
      <c r="BW68">
        <f t="shared" si="18"/>
        <v>-18</v>
      </c>
      <c r="BX68">
        <f t="shared" si="18"/>
        <v>-18</v>
      </c>
      <c r="BY68">
        <f t="shared" si="18"/>
        <v>-18</v>
      </c>
      <c r="BZ68">
        <f t="shared" si="18"/>
        <v>-19</v>
      </c>
      <c r="CA68">
        <f t="shared" si="18"/>
        <v>-19</v>
      </c>
      <c r="CB68">
        <f t="shared" si="18"/>
        <v>-19</v>
      </c>
      <c r="CC68">
        <f t="shared" si="18"/>
        <v>-20</v>
      </c>
      <c r="CD68">
        <f t="shared" si="18"/>
        <v>-20</v>
      </c>
      <c r="CE68">
        <f t="shared" si="18"/>
        <v>-20</v>
      </c>
      <c r="CF68">
        <f t="shared" si="18"/>
        <v>-21</v>
      </c>
      <c r="CG68">
        <f t="shared" si="18"/>
        <v>-21</v>
      </c>
      <c r="CH68">
        <f t="shared" si="18"/>
        <v>-21</v>
      </c>
      <c r="CI68">
        <f t="shared" si="18"/>
        <v>-22</v>
      </c>
      <c r="CJ68">
        <f t="shared" si="19"/>
        <v>-22</v>
      </c>
      <c r="CK68">
        <f t="shared" si="19"/>
        <v>-22</v>
      </c>
      <c r="CL68">
        <f t="shared" si="19"/>
        <v>-23</v>
      </c>
      <c r="CM68">
        <f t="shared" si="19"/>
        <v>-23</v>
      </c>
      <c r="CN68">
        <f t="shared" si="19"/>
        <v>-23</v>
      </c>
      <c r="CO68">
        <f t="shared" si="19"/>
        <v>-24</v>
      </c>
      <c r="CP68">
        <f t="shared" si="19"/>
        <v>-24</v>
      </c>
      <c r="CQ68">
        <f t="shared" si="19"/>
        <v>-24</v>
      </c>
      <c r="CR68">
        <f t="shared" si="19"/>
        <v>-25</v>
      </c>
      <c r="CS68">
        <f t="shared" si="19"/>
        <v>-25</v>
      </c>
      <c r="CT68">
        <f t="shared" si="19"/>
        <v>-25</v>
      </c>
      <c r="CU68">
        <f t="shared" si="19"/>
        <v>-26</v>
      </c>
      <c r="CV68">
        <f t="shared" si="19"/>
        <v>-26</v>
      </c>
      <c r="CW68">
        <f t="shared" si="19"/>
        <v>-26</v>
      </c>
      <c r="CX68">
        <f t="shared" si="19"/>
        <v>-27</v>
      </c>
      <c r="CY68">
        <f t="shared" si="19"/>
        <v>-27</v>
      </c>
      <c r="CZ68">
        <f t="shared" si="19"/>
        <v>-27</v>
      </c>
      <c r="DA68">
        <f t="shared" si="19"/>
        <v>-28</v>
      </c>
      <c r="DB68">
        <f t="shared" si="19"/>
        <v>-28</v>
      </c>
      <c r="DC68">
        <f t="shared" si="19"/>
        <v>-28</v>
      </c>
      <c r="DD68">
        <f t="shared" si="19"/>
        <v>-29</v>
      </c>
      <c r="DE68">
        <f t="shared" si="19"/>
        <v>-29</v>
      </c>
      <c r="DF68">
        <f t="shared" si="19"/>
        <v>-29</v>
      </c>
      <c r="DG68">
        <f t="shared" si="19"/>
        <v>-30</v>
      </c>
      <c r="DH68">
        <f t="shared" si="19"/>
        <v>-30</v>
      </c>
      <c r="DI68">
        <f t="shared" si="19"/>
        <v>-30</v>
      </c>
      <c r="DJ68">
        <f t="shared" si="19"/>
        <v>-31</v>
      </c>
      <c r="DK68">
        <f t="shared" si="19"/>
        <v>-31</v>
      </c>
      <c r="DL68">
        <f t="shared" si="19"/>
        <v>-31</v>
      </c>
      <c r="DM68">
        <f t="shared" si="19"/>
        <v>-32</v>
      </c>
      <c r="DN68">
        <f t="shared" si="19"/>
        <v>-32</v>
      </c>
      <c r="DO68">
        <f t="shared" si="19"/>
        <v>-32</v>
      </c>
      <c r="DP68">
        <f t="shared" si="19"/>
        <v>-33</v>
      </c>
      <c r="DQ68" t="s">
        <v>19</v>
      </c>
    </row>
    <row r="70" spans="20:121" x14ac:dyDescent="0.25">
      <c r="U70" t="e">
        <f>SMALL(U59:U64,COUNTIF(U59:U64,0)+1)</f>
        <v>#NUM!</v>
      </c>
      <c r="V70" t="e">
        <f>SMALL(V59:V64,COUNTIF(V59:V64,0)+1)</f>
        <v>#NUM!</v>
      </c>
      <c r="W70" t="e">
        <f>SMALL(W59:W64,COUNTIF(W59:W64,0)+1)</f>
        <v>#NUM!</v>
      </c>
      <c r="X70" t="e">
        <f t="shared" ref="X70:CI70" si="22">SMALL(X59:X64,COUNTIF(X59:X64,0)+1)</f>
        <v>#NUM!</v>
      </c>
      <c r="Y70" t="e">
        <f t="shared" si="22"/>
        <v>#NUM!</v>
      </c>
      <c r="Z70" t="e">
        <f t="shared" si="22"/>
        <v>#NUM!</v>
      </c>
      <c r="AA70" t="e">
        <f t="shared" si="22"/>
        <v>#NUM!</v>
      </c>
      <c r="AB70" t="e">
        <f t="shared" si="22"/>
        <v>#NUM!</v>
      </c>
      <c r="AC70" t="e">
        <f t="shared" si="22"/>
        <v>#NUM!</v>
      </c>
      <c r="AD70" t="e">
        <f t="shared" si="22"/>
        <v>#NUM!</v>
      </c>
      <c r="AE70" t="e">
        <f t="shared" si="22"/>
        <v>#NUM!</v>
      </c>
      <c r="AF70" t="e">
        <f t="shared" si="22"/>
        <v>#NUM!</v>
      </c>
      <c r="AG70" t="e">
        <f t="shared" si="22"/>
        <v>#NUM!</v>
      </c>
      <c r="AH70" t="e">
        <f t="shared" si="22"/>
        <v>#NUM!</v>
      </c>
      <c r="AI70" t="e">
        <f t="shared" si="22"/>
        <v>#NUM!</v>
      </c>
      <c r="AJ70" t="e">
        <f t="shared" si="22"/>
        <v>#NUM!</v>
      </c>
      <c r="AK70" t="e">
        <f t="shared" si="22"/>
        <v>#NUM!</v>
      </c>
      <c r="AL70" t="e">
        <f t="shared" si="22"/>
        <v>#NUM!</v>
      </c>
      <c r="AM70" t="e">
        <f t="shared" si="22"/>
        <v>#NUM!</v>
      </c>
      <c r="AN70" t="e">
        <f t="shared" si="22"/>
        <v>#NUM!</v>
      </c>
      <c r="AO70" t="e">
        <f t="shared" si="22"/>
        <v>#NUM!</v>
      </c>
      <c r="AP70" t="e">
        <f t="shared" si="22"/>
        <v>#NUM!</v>
      </c>
      <c r="AQ70" t="e">
        <f t="shared" si="22"/>
        <v>#NUM!</v>
      </c>
      <c r="AR70" t="e">
        <f t="shared" si="22"/>
        <v>#NUM!</v>
      </c>
      <c r="AS70" t="e">
        <f t="shared" si="22"/>
        <v>#NUM!</v>
      </c>
      <c r="AT70" t="e">
        <f t="shared" si="22"/>
        <v>#NUM!</v>
      </c>
      <c r="AU70" t="e">
        <f t="shared" si="22"/>
        <v>#NUM!</v>
      </c>
      <c r="AV70" t="e">
        <f t="shared" si="22"/>
        <v>#NUM!</v>
      </c>
      <c r="AW70" t="e">
        <f t="shared" si="22"/>
        <v>#NUM!</v>
      </c>
      <c r="AX70" t="e">
        <f t="shared" si="22"/>
        <v>#NUM!</v>
      </c>
      <c r="AY70" t="e">
        <f t="shared" si="22"/>
        <v>#NUM!</v>
      </c>
      <c r="AZ70" t="e">
        <f t="shared" si="22"/>
        <v>#NUM!</v>
      </c>
      <c r="BA70" t="e">
        <f t="shared" si="22"/>
        <v>#NUM!</v>
      </c>
      <c r="BB70" t="e">
        <f t="shared" si="22"/>
        <v>#NUM!</v>
      </c>
      <c r="BC70" t="e">
        <f t="shared" si="22"/>
        <v>#NUM!</v>
      </c>
      <c r="BD70" t="e">
        <f t="shared" si="22"/>
        <v>#NUM!</v>
      </c>
      <c r="BE70" t="e">
        <f t="shared" si="22"/>
        <v>#NUM!</v>
      </c>
      <c r="BF70" t="e">
        <f t="shared" si="22"/>
        <v>#NUM!</v>
      </c>
      <c r="BG70" t="e">
        <f t="shared" si="22"/>
        <v>#NUM!</v>
      </c>
      <c r="BH70" t="e">
        <f t="shared" si="22"/>
        <v>#NUM!</v>
      </c>
      <c r="BI70" t="e">
        <f t="shared" si="22"/>
        <v>#NUM!</v>
      </c>
      <c r="BJ70" t="e">
        <f t="shared" si="22"/>
        <v>#NUM!</v>
      </c>
      <c r="BK70" t="e">
        <f t="shared" si="22"/>
        <v>#NUM!</v>
      </c>
      <c r="BL70" t="e">
        <f t="shared" si="22"/>
        <v>#NUM!</v>
      </c>
      <c r="BM70" t="e">
        <f t="shared" si="22"/>
        <v>#NUM!</v>
      </c>
      <c r="BN70" t="e">
        <f t="shared" si="22"/>
        <v>#NUM!</v>
      </c>
      <c r="BO70" t="e">
        <f t="shared" si="22"/>
        <v>#NUM!</v>
      </c>
      <c r="BP70" t="e">
        <f t="shared" si="22"/>
        <v>#NUM!</v>
      </c>
      <c r="BQ70" t="e">
        <f t="shared" si="22"/>
        <v>#NUM!</v>
      </c>
      <c r="BR70" t="e">
        <f t="shared" si="22"/>
        <v>#NUM!</v>
      </c>
      <c r="BS70" t="e">
        <f t="shared" si="22"/>
        <v>#NUM!</v>
      </c>
      <c r="BT70" t="e">
        <f t="shared" si="22"/>
        <v>#NUM!</v>
      </c>
      <c r="BU70" t="e">
        <f t="shared" si="22"/>
        <v>#NUM!</v>
      </c>
      <c r="BV70" t="e">
        <f t="shared" si="22"/>
        <v>#NUM!</v>
      </c>
      <c r="BW70" t="e">
        <f t="shared" si="22"/>
        <v>#NUM!</v>
      </c>
      <c r="BX70" t="e">
        <f t="shared" si="22"/>
        <v>#NUM!</v>
      </c>
      <c r="BY70" t="e">
        <f t="shared" si="22"/>
        <v>#NUM!</v>
      </c>
      <c r="BZ70" t="e">
        <f t="shared" si="22"/>
        <v>#NUM!</v>
      </c>
      <c r="CA70" t="e">
        <f t="shared" si="22"/>
        <v>#NUM!</v>
      </c>
      <c r="CB70" t="e">
        <f t="shared" si="22"/>
        <v>#NUM!</v>
      </c>
      <c r="CC70" t="e">
        <f t="shared" si="22"/>
        <v>#NUM!</v>
      </c>
      <c r="CD70" t="e">
        <f t="shared" si="22"/>
        <v>#NUM!</v>
      </c>
      <c r="CE70" t="e">
        <f t="shared" si="22"/>
        <v>#NUM!</v>
      </c>
      <c r="CF70" t="e">
        <f t="shared" si="22"/>
        <v>#NUM!</v>
      </c>
      <c r="CG70" t="e">
        <f t="shared" si="22"/>
        <v>#NUM!</v>
      </c>
      <c r="CH70" t="e">
        <f t="shared" si="22"/>
        <v>#NUM!</v>
      </c>
      <c r="CI70" t="e">
        <f t="shared" si="22"/>
        <v>#NUM!</v>
      </c>
      <c r="CJ70" t="e">
        <f t="shared" ref="CJ70:DP70" si="23">SMALL(CJ59:CJ64,COUNTIF(CJ59:CJ64,0)+1)</f>
        <v>#NUM!</v>
      </c>
      <c r="CK70" t="e">
        <f t="shared" si="23"/>
        <v>#NUM!</v>
      </c>
      <c r="CL70" t="e">
        <f t="shared" si="23"/>
        <v>#NUM!</v>
      </c>
      <c r="CM70" t="e">
        <f t="shared" si="23"/>
        <v>#NUM!</v>
      </c>
      <c r="CN70" t="e">
        <f t="shared" si="23"/>
        <v>#NUM!</v>
      </c>
      <c r="CO70" t="e">
        <f t="shared" si="23"/>
        <v>#NUM!</v>
      </c>
      <c r="CP70" t="e">
        <f t="shared" si="23"/>
        <v>#NUM!</v>
      </c>
      <c r="CQ70" t="e">
        <f t="shared" si="23"/>
        <v>#NUM!</v>
      </c>
      <c r="CR70" t="e">
        <f t="shared" si="23"/>
        <v>#NUM!</v>
      </c>
      <c r="CS70" t="e">
        <f t="shared" si="23"/>
        <v>#NUM!</v>
      </c>
      <c r="CT70" t="e">
        <f t="shared" si="23"/>
        <v>#NUM!</v>
      </c>
      <c r="CU70" t="e">
        <f t="shared" si="23"/>
        <v>#NUM!</v>
      </c>
      <c r="CV70" t="e">
        <f t="shared" si="23"/>
        <v>#NUM!</v>
      </c>
      <c r="CW70" t="e">
        <f t="shared" si="23"/>
        <v>#NUM!</v>
      </c>
      <c r="CX70" t="e">
        <f t="shared" si="23"/>
        <v>#NUM!</v>
      </c>
      <c r="CY70" t="e">
        <f t="shared" si="23"/>
        <v>#NUM!</v>
      </c>
      <c r="CZ70" t="e">
        <f t="shared" si="23"/>
        <v>#NUM!</v>
      </c>
      <c r="DA70" t="e">
        <f t="shared" si="23"/>
        <v>#NUM!</v>
      </c>
      <c r="DB70" t="e">
        <f t="shared" si="23"/>
        <v>#NUM!</v>
      </c>
      <c r="DC70" t="e">
        <f t="shared" si="23"/>
        <v>#NUM!</v>
      </c>
      <c r="DD70" t="e">
        <f t="shared" si="23"/>
        <v>#NUM!</v>
      </c>
      <c r="DE70" t="e">
        <f t="shared" si="23"/>
        <v>#NUM!</v>
      </c>
      <c r="DF70" t="e">
        <f t="shared" si="23"/>
        <v>#NUM!</v>
      </c>
      <c r="DG70" t="e">
        <f t="shared" si="23"/>
        <v>#NUM!</v>
      </c>
      <c r="DH70" t="e">
        <f t="shared" si="23"/>
        <v>#NUM!</v>
      </c>
      <c r="DI70" t="e">
        <f t="shared" si="23"/>
        <v>#NUM!</v>
      </c>
      <c r="DJ70" t="e">
        <f t="shared" si="23"/>
        <v>#NUM!</v>
      </c>
      <c r="DK70" t="e">
        <f t="shared" si="23"/>
        <v>#NUM!</v>
      </c>
      <c r="DL70" t="e">
        <f t="shared" si="23"/>
        <v>#NUM!</v>
      </c>
      <c r="DM70" t="e">
        <f t="shared" si="23"/>
        <v>#NUM!</v>
      </c>
      <c r="DN70" t="e">
        <f t="shared" si="23"/>
        <v>#NUM!</v>
      </c>
      <c r="DO70" t="e">
        <f t="shared" si="23"/>
        <v>#NUM!</v>
      </c>
      <c r="DP70" t="e">
        <f t="shared" si="23"/>
        <v>#NUM!</v>
      </c>
    </row>
    <row r="71" spans="20:121" x14ac:dyDescent="0.25">
      <c r="U71" t="e">
        <f>VLOOKUP(U70,U59:DQ64,101,FALSE)</f>
        <v>#NUM!</v>
      </c>
      <c r="V71" t="e">
        <f>VLOOKUP(V70,V59:DR64,V74,FALSE)</f>
        <v>#NUM!</v>
      </c>
      <c r="W71" t="e">
        <f>VLOOKUP(W70,W59:DS64,W74,FALSE)</f>
        <v>#NUM!</v>
      </c>
      <c r="X71" t="e">
        <f t="shared" ref="X71:CI71" si="24">VLOOKUP(X70,X59:DT64,X74,FALSE)</f>
        <v>#NUM!</v>
      </c>
      <c r="Y71" t="e">
        <f t="shared" si="24"/>
        <v>#NUM!</v>
      </c>
      <c r="Z71" t="e">
        <f t="shared" si="24"/>
        <v>#NUM!</v>
      </c>
      <c r="AA71" t="e">
        <f t="shared" si="24"/>
        <v>#NUM!</v>
      </c>
      <c r="AB71" t="e">
        <f t="shared" si="24"/>
        <v>#NUM!</v>
      </c>
      <c r="AC71" t="e">
        <f t="shared" si="24"/>
        <v>#NUM!</v>
      </c>
      <c r="AD71" t="e">
        <f t="shared" si="24"/>
        <v>#NUM!</v>
      </c>
      <c r="AE71" t="e">
        <f t="shared" si="24"/>
        <v>#NUM!</v>
      </c>
      <c r="AF71" t="e">
        <f t="shared" si="24"/>
        <v>#NUM!</v>
      </c>
      <c r="AG71" t="e">
        <f t="shared" si="24"/>
        <v>#NUM!</v>
      </c>
      <c r="AH71" t="e">
        <f t="shared" si="24"/>
        <v>#NUM!</v>
      </c>
      <c r="AI71" t="e">
        <f t="shared" si="24"/>
        <v>#NUM!</v>
      </c>
      <c r="AJ71" t="e">
        <f t="shared" si="24"/>
        <v>#NUM!</v>
      </c>
      <c r="AK71" t="e">
        <f t="shared" si="24"/>
        <v>#NUM!</v>
      </c>
      <c r="AL71" t="e">
        <f t="shared" si="24"/>
        <v>#NUM!</v>
      </c>
      <c r="AM71" t="e">
        <f t="shared" si="24"/>
        <v>#NUM!</v>
      </c>
      <c r="AN71" t="e">
        <f t="shared" si="24"/>
        <v>#NUM!</v>
      </c>
      <c r="AO71" t="e">
        <f t="shared" si="24"/>
        <v>#NUM!</v>
      </c>
      <c r="AP71" t="e">
        <f t="shared" si="24"/>
        <v>#NUM!</v>
      </c>
      <c r="AQ71" t="e">
        <f t="shared" si="24"/>
        <v>#NUM!</v>
      </c>
      <c r="AR71" t="e">
        <f t="shared" si="24"/>
        <v>#NUM!</v>
      </c>
      <c r="AS71" t="e">
        <f t="shared" si="24"/>
        <v>#NUM!</v>
      </c>
      <c r="AT71" t="e">
        <f t="shared" si="24"/>
        <v>#NUM!</v>
      </c>
      <c r="AU71" t="e">
        <f t="shared" si="24"/>
        <v>#NUM!</v>
      </c>
      <c r="AV71" t="e">
        <f t="shared" si="24"/>
        <v>#NUM!</v>
      </c>
      <c r="AW71" t="e">
        <f t="shared" si="24"/>
        <v>#NUM!</v>
      </c>
      <c r="AX71" t="e">
        <f t="shared" si="24"/>
        <v>#NUM!</v>
      </c>
      <c r="AY71" t="e">
        <f t="shared" si="24"/>
        <v>#NUM!</v>
      </c>
      <c r="AZ71" t="e">
        <f t="shared" si="24"/>
        <v>#NUM!</v>
      </c>
      <c r="BA71" t="e">
        <f t="shared" si="24"/>
        <v>#NUM!</v>
      </c>
      <c r="BB71" t="e">
        <f t="shared" si="24"/>
        <v>#NUM!</v>
      </c>
      <c r="BC71" t="e">
        <f t="shared" si="24"/>
        <v>#NUM!</v>
      </c>
      <c r="BD71" t="e">
        <f t="shared" si="24"/>
        <v>#NUM!</v>
      </c>
      <c r="BE71" t="e">
        <f t="shared" si="24"/>
        <v>#NUM!</v>
      </c>
      <c r="BF71" t="e">
        <f t="shared" si="24"/>
        <v>#NUM!</v>
      </c>
      <c r="BG71" t="e">
        <f t="shared" si="24"/>
        <v>#NUM!</v>
      </c>
      <c r="BH71" t="e">
        <f t="shared" si="24"/>
        <v>#NUM!</v>
      </c>
      <c r="BI71" t="e">
        <f t="shared" si="24"/>
        <v>#NUM!</v>
      </c>
      <c r="BJ71" t="e">
        <f t="shared" si="24"/>
        <v>#NUM!</v>
      </c>
      <c r="BK71" t="e">
        <f t="shared" si="24"/>
        <v>#NUM!</v>
      </c>
      <c r="BL71" t="e">
        <f t="shared" si="24"/>
        <v>#NUM!</v>
      </c>
      <c r="BM71" t="e">
        <f t="shared" si="24"/>
        <v>#NUM!</v>
      </c>
      <c r="BN71" t="e">
        <f t="shared" si="24"/>
        <v>#NUM!</v>
      </c>
      <c r="BO71" t="e">
        <f t="shared" si="24"/>
        <v>#NUM!</v>
      </c>
      <c r="BP71" t="e">
        <f t="shared" si="24"/>
        <v>#NUM!</v>
      </c>
      <c r="BQ71" t="e">
        <f t="shared" si="24"/>
        <v>#NUM!</v>
      </c>
      <c r="BR71" t="e">
        <f t="shared" si="24"/>
        <v>#NUM!</v>
      </c>
      <c r="BS71" t="e">
        <f t="shared" si="24"/>
        <v>#NUM!</v>
      </c>
      <c r="BT71" t="e">
        <f t="shared" si="24"/>
        <v>#NUM!</v>
      </c>
      <c r="BU71" t="e">
        <f t="shared" si="24"/>
        <v>#NUM!</v>
      </c>
      <c r="BV71" t="e">
        <f t="shared" si="24"/>
        <v>#NUM!</v>
      </c>
      <c r="BW71" t="e">
        <f t="shared" si="24"/>
        <v>#NUM!</v>
      </c>
      <c r="BX71" t="e">
        <f t="shared" si="24"/>
        <v>#NUM!</v>
      </c>
      <c r="BY71" t="e">
        <f t="shared" si="24"/>
        <v>#NUM!</v>
      </c>
      <c r="BZ71" t="e">
        <f t="shared" si="24"/>
        <v>#NUM!</v>
      </c>
      <c r="CA71" t="e">
        <f t="shared" si="24"/>
        <v>#NUM!</v>
      </c>
      <c r="CB71" t="e">
        <f t="shared" si="24"/>
        <v>#NUM!</v>
      </c>
      <c r="CC71" t="e">
        <f t="shared" si="24"/>
        <v>#NUM!</v>
      </c>
      <c r="CD71" t="e">
        <f t="shared" si="24"/>
        <v>#NUM!</v>
      </c>
      <c r="CE71" t="e">
        <f t="shared" si="24"/>
        <v>#NUM!</v>
      </c>
      <c r="CF71" t="e">
        <f t="shared" si="24"/>
        <v>#NUM!</v>
      </c>
      <c r="CG71" t="e">
        <f t="shared" si="24"/>
        <v>#NUM!</v>
      </c>
      <c r="CH71" t="e">
        <f t="shared" si="24"/>
        <v>#NUM!</v>
      </c>
      <c r="CI71" t="e">
        <f t="shared" si="24"/>
        <v>#NUM!</v>
      </c>
      <c r="CJ71" t="e">
        <f t="shared" ref="CJ71:DP71" si="25">VLOOKUP(CJ70,CJ59:GF64,CJ74,FALSE)</f>
        <v>#NUM!</v>
      </c>
      <c r="CK71" t="e">
        <f t="shared" si="25"/>
        <v>#NUM!</v>
      </c>
      <c r="CL71" t="e">
        <f t="shared" si="25"/>
        <v>#NUM!</v>
      </c>
      <c r="CM71" t="e">
        <f t="shared" si="25"/>
        <v>#NUM!</v>
      </c>
      <c r="CN71" t="e">
        <f t="shared" si="25"/>
        <v>#NUM!</v>
      </c>
      <c r="CO71" t="e">
        <f t="shared" si="25"/>
        <v>#NUM!</v>
      </c>
      <c r="CP71" t="e">
        <f t="shared" si="25"/>
        <v>#NUM!</v>
      </c>
      <c r="CQ71" t="e">
        <f t="shared" si="25"/>
        <v>#NUM!</v>
      </c>
      <c r="CR71" t="e">
        <f t="shared" si="25"/>
        <v>#NUM!</v>
      </c>
      <c r="CS71" t="e">
        <f t="shared" si="25"/>
        <v>#NUM!</v>
      </c>
      <c r="CT71" t="e">
        <f t="shared" si="25"/>
        <v>#NUM!</v>
      </c>
      <c r="CU71" t="e">
        <f t="shared" si="25"/>
        <v>#NUM!</v>
      </c>
      <c r="CV71" t="e">
        <f t="shared" si="25"/>
        <v>#NUM!</v>
      </c>
      <c r="CW71" t="e">
        <f t="shared" si="25"/>
        <v>#NUM!</v>
      </c>
      <c r="CX71" t="e">
        <f t="shared" si="25"/>
        <v>#NUM!</v>
      </c>
      <c r="CY71" t="e">
        <f t="shared" si="25"/>
        <v>#NUM!</v>
      </c>
      <c r="CZ71" t="e">
        <f t="shared" si="25"/>
        <v>#NUM!</v>
      </c>
      <c r="DA71" t="e">
        <f t="shared" si="25"/>
        <v>#NUM!</v>
      </c>
      <c r="DB71" t="e">
        <f t="shared" si="25"/>
        <v>#NUM!</v>
      </c>
      <c r="DC71" t="e">
        <f t="shared" si="25"/>
        <v>#NUM!</v>
      </c>
      <c r="DD71" t="e">
        <f t="shared" si="25"/>
        <v>#NUM!</v>
      </c>
      <c r="DE71" t="e">
        <f t="shared" si="25"/>
        <v>#NUM!</v>
      </c>
      <c r="DF71" t="e">
        <f t="shared" si="25"/>
        <v>#NUM!</v>
      </c>
      <c r="DG71" t="e">
        <f t="shared" si="25"/>
        <v>#NUM!</v>
      </c>
      <c r="DH71" t="e">
        <f t="shared" si="25"/>
        <v>#NUM!</v>
      </c>
      <c r="DI71" t="e">
        <f t="shared" si="25"/>
        <v>#NUM!</v>
      </c>
      <c r="DJ71" t="e">
        <f t="shared" si="25"/>
        <v>#NUM!</v>
      </c>
      <c r="DK71" t="e">
        <f t="shared" si="25"/>
        <v>#NUM!</v>
      </c>
      <c r="DL71" t="e">
        <f t="shared" si="25"/>
        <v>#NUM!</v>
      </c>
      <c r="DM71" t="e">
        <f t="shared" si="25"/>
        <v>#NUM!</v>
      </c>
      <c r="DN71" t="e">
        <f t="shared" si="25"/>
        <v>#NUM!</v>
      </c>
      <c r="DO71" t="e">
        <f t="shared" si="25"/>
        <v>#NUM!</v>
      </c>
      <c r="DP71" t="e">
        <f t="shared" si="25"/>
        <v>#NUM!</v>
      </c>
    </row>
    <row r="72" spans="20:121" x14ac:dyDescent="0.25">
      <c r="U72">
        <f>MAX(U66:U68)</f>
        <v>0</v>
      </c>
      <c r="V72">
        <f>MAX(V66:V68)</f>
        <v>0</v>
      </c>
      <c r="W72">
        <f>MAX(W66:W68)</f>
        <v>0</v>
      </c>
      <c r="X72">
        <f t="shared" ref="X72:CI72" si="26">MAX(X66:X68)</f>
        <v>-1</v>
      </c>
      <c r="Y72">
        <f t="shared" si="26"/>
        <v>-1</v>
      </c>
      <c r="Z72">
        <f t="shared" si="26"/>
        <v>-1</v>
      </c>
      <c r="AA72">
        <f t="shared" si="26"/>
        <v>-2</v>
      </c>
      <c r="AB72">
        <f t="shared" si="26"/>
        <v>-2</v>
      </c>
      <c r="AC72">
        <f t="shared" si="26"/>
        <v>-2</v>
      </c>
      <c r="AD72">
        <f t="shared" si="26"/>
        <v>-3</v>
      </c>
      <c r="AE72">
        <f t="shared" si="26"/>
        <v>-3</v>
      </c>
      <c r="AF72">
        <f t="shared" si="26"/>
        <v>-3</v>
      </c>
      <c r="AG72">
        <f t="shared" si="26"/>
        <v>-4</v>
      </c>
      <c r="AH72">
        <f t="shared" si="26"/>
        <v>-4</v>
      </c>
      <c r="AI72">
        <f t="shared" si="26"/>
        <v>-4</v>
      </c>
      <c r="AJ72">
        <f t="shared" si="26"/>
        <v>-5</v>
      </c>
      <c r="AK72">
        <f t="shared" si="26"/>
        <v>-5</v>
      </c>
      <c r="AL72">
        <f t="shared" si="26"/>
        <v>-5</v>
      </c>
      <c r="AM72">
        <f t="shared" si="26"/>
        <v>-6</v>
      </c>
      <c r="AN72">
        <f t="shared" si="26"/>
        <v>-6</v>
      </c>
      <c r="AO72">
        <f t="shared" si="26"/>
        <v>-6</v>
      </c>
      <c r="AP72">
        <f t="shared" si="26"/>
        <v>-7</v>
      </c>
      <c r="AQ72">
        <f t="shared" si="26"/>
        <v>-7</v>
      </c>
      <c r="AR72">
        <f t="shared" si="26"/>
        <v>-7</v>
      </c>
      <c r="AS72">
        <f t="shared" si="26"/>
        <v>-8</v>
      </c>
      <c r="AT72">
        <f t="shared" si="26"/>
        <v>-8</v>
      </c>
      <c r="AU72">
        <f t="shared" si="26"/>
        <v>-8</v>
      </c>
      <c r="AV72">
        <f t="shared" si="26"/>
        <v>-9</v>
      </c>
      <c r="AW72">
        <f t="shared" si="26"/>
        <v>-9</v>
      </c>
      <c r="AX72">
        <f t="shared" si="26"/>
        <v>-9</v>
      </c>
      <c r="AY72">
        <f t="shared" si="26"/>
        <v>-10</v>
      </c>
      <c r="AZ72">
        <f t="shared" si="26"/>
        <v>-10</v>
      </c>
      <c r="BA72">
        <f t="shared" si="26"/>
        <v>-10</v>
      </c>
      <c r="BB72">
        <f t="shared" si="26"/>
        <v>-11</v>
      </c>
      <c r="BC72">
        <f t="shared" si="26"/>
        <v>-11</v>
      </c>
      <c r="BD72">
        <f t="shared" si="26"/>
        <v>-11</v>
      </c>
      <c r="BE72">
        <f t="shared" si="26"/>
        <v>-12</v>
      </c>
      <c r="BF72">
        <f t="shared" si="26"/>
        <v>-12</v>
      </c>
      <c r="BG72">
        <f t="shared" si="26"/>
        <v>-12</v>
      </c>
      <c r="BH72">
        <f t="shared" si="26"/>
        <v>-13</v>
      </c>
      <c r="BI72">
        <f t="shared" si="26"/>
        <v>-13</v>
      </c>
      <c r="BJ72">
        <f t="shared" si="26"/>
        <v>-13</v>
      </c>
      <c r="BK72">
        <f t="shared" si="26"/>
        <v>-14</v>
      </c>
      <c r="BL72">
        <f t="shared" si="26"/>
        <v>-14</v>
      </c>
      <c r="BM72">
        <f t="shared" si="26"/>
        <v>-14</v>
      </c>
      <c r="BN72">
        <f t="shared" si="26"/>
        <v>-15</v>
      </c>
      <c r="BO72">
        <f t="shared" si="26"/>
        <v>-15</v>
      </c>
      <c r="BP72">
        <f t="shared" si="26"/>
        <v>-15</v>
      </c>
      <c r="BQ72">
        <f t="shared" si="26"/>
        <v>-16</v>
      </c>
      <c r="BR72">
        <f t="shared" si="26"/>
        <v>-16</v>
      </c>
      <c r="BS72">
        <f t="shared" si="26"/>
        <v>-16</v>
      </c>
      <c r="BT72">
        <f t="shared" si="26"/>
        <v>-17</v>
      </c>
      <c r="BU72">
        <f t="shared" si="26"/>
        <v>-17</v>
      </c>
      <c r="BV72">
        <f t="shared" si="26"/>
        <v>-17</v>
      </c>
      <c r="BW72">
        <f t="shared" si="26"/>
        <v>-18</v>
      </c>
      <c r="BX72">
        <f t="shared" si="26"/>
        <v>-18</v>
      </c>
      <c r="BY72">
        <f t="shared" si="26"/>
        <v>-18</v>
      </c>
      <c r="BZ72">
        <f t="shared" si="26"/>
        <v>-19</v>
      </c>
      <c r="CA72">
        <f t="shared" si="26"/>
        <v>-19</v>
      </c>
      <c r="CB72">
        <f t="shared" si="26"/>
        <v>-19</v>
      </c>
      <c r="CC72">
        <f t="shared" si="26"/>
        <v>-20</v>
      </c>
      <c r="CD72">
        <f t="shared" si="26"/>
        <v>-20</v>
      </c>
      <c r="CE72">
        <f t="shared" si="26"/>
        <v>-20</v>
      </c>
      <c r="CF72">
        <f t="shared" si="26"/>
        <v>-21</v>
      </c>
      <c r="CG72">
        <f t="shared" si="26"/>
        <v>-21</v>
      </c>
      <c r="CH72">
        <f t="shared" si="26"/>
        <v>-21</v>
      </c>
      <c r="CI72">
        <f t="shared" si="26"/>
        <v>-22</v>
      </c>
      <c r="CJ72">
        <f t="shared" ref="CJ72:DP72" si="27">MAX(CJ66:CJ68)</f>
        <v>-22</v>
      </c>
      <c r="CK72">
        <f t="shared" si="27"/>
        <v>-22</v>
      </c>
      <c r="CL72">
        <f t="shared" si="27"/>
        <v>-23</v>
      </c>
      <c r="CM72">
        <f t="shared" si="27"/>
        <v>-23</v>
      </c>
      <c r="CN72">
        <f t="shared" si="27"/>
        <v>-23</v>
      </c>
      <c r="CO72">
        <f t="shared" si="27"/>
        <v>-24</v>
      </c>
      <c r="CP72">
        <f t="shared" si="27"/>
        <v>-24</v>
      </c>
      <c r="CQ72">
        <f t="shared" si="27"/>
        <v>-24</v>
      </c>
      <c r="CR72">
        <f t="shared" si="27"/>
        <v>-25</v>
      </c>
      <c r="CS72">
        <f t="shared" si="27"/>
        <v>-25</v>
      </c>
      <c r="CT72">
        <f t="shared" si="27"/>
        <v>-25</v>
      </c>
      <c r="CU72">
        <f t="shared" si="27"/>
        <v>-26</v>
      </c>
      <c r="CV72">
        <f t="shared" si="27"/>
        <v>-26</v>
      </c>
      <c r="CW72">
        <f t="shared" si="27"/>
        <v>-26</v>
      </c>
      <c r="CX72">
        <f t="shared" si="27"/>
        <v>-27</v>
      </c>
      <c r="CY72">
        <f t="shared" si="27"/>
        <v>-27</v>
      </c>
      <c r="CZ72">
        <f t="shared" si="27"/>
        <v>-27</v>
      </c>
      <c r="DA72">
        <f t="shared" si="27"/>
        <v>-28</v>
      </c>
      <c r="DB72">
        <f t="shared" si="27"/>
        <v>-28</v>
      </c>
      <c r="DC72">
        <f t="shared" si="27"/>
        <v>-28</v>
      </c>
      <c r="DD72">
        <f t="shared" si="27"/>
        <v>-29</v>
      </c>
      <c r="DE72">
        <f t="shared" si="27"/>
        <v>-29</v>
      </c>
      <c r="DF72">
        <f t="shared" si="27"/>
        <v>-29</v>
      </c>
      <c r="DG72">
        <f t="shared" si="27"/>
        <v>-30</v>
      </c>
      <c r="DH72">
        <f t="shared" si="27"/>
        <v>-30</v>
      </c>
      <c r="DI72">
        <f t="shared" si="27"/>
        <v>-30</v>
      </c>
      <c r="DJ72">
        <f t="shared" si="27"/>
        <v>-31</v>
      </c>
      <c r="DK72">
        <f t="shared" si="27"/>
        <v>-31</v>
      </c>
      <c r="DL72">
        <f t="shared" si="27"/>
        <v>-31</v>
      </c>
      <c r="DM72">
        <f t="shared" si="27"/>
        <v>-32</v>
      </c>
      <c r="DN72">
        <f t="shared" si="27"/>
        <v>-32</v>
      </c>
      <c r="DO72">
        <f t="shared" si="27"/>
        <v>-32</v>
      </c>
      <c r="DP72">
        <f t="shared" si="27"/>
        <v>-33</v>
      </c>
    </row>
    <row r="73" spans="20:121" x14ac:dyDescent="0.25">
      <c r="U73" t="str">
        <f>VLOOKUP(U72,U66:DQ68,101,FALSE)</f>
        <v>Standard</v>
      </c>
      <c r="V73" t="str">
        <f>VLOOKUP(V72,V66:DR68,V74,FALSE)</f>
        <v>Premium</v>
      </c>
      <c r="W73" t="str">
        <f>VLOOKUP(W72,W66:DS68,W74,FALSE)</f>
        <v>Super Premium</v>
      </c>
      <c r="X73" t="str">
        <f t="shared" ref="X73:AI73" si="28">VLOOKUP(X72,X66:DT68,X74,FALSE)</f>
        <v>Standard</v>
      </c>
      <c r="Y73" t="str">
        <f t="shared" si="28"/>
        <v>Premium</v>
      </c>
      <c r="Z73" t="str">
        <f t="shared" si="28"/>
        <v>Super Premium</v>
      </c>
      <c r="AA73" t="str">
        <f t="shared" si="28"/>
        <v>Standard</v>
      </c>
      <c r="AB73" t="str">
        <f t="shared" si="28"/>
        <v>Premium</v>
      </c>
      <c r="AC73" t="str">
        <f t="shared" si="28"/>
        <v>Super Premium</v>
      </c>
      <c r="AD73" t="str">
        <f t="shared" si="28"/>
        <v>Standard</v>
      </c>
      <c r="AE73" t="str">
        <f t="shared" si="28"/>
        <v>Premium</v>
      </c>
      <c r="AF73" t="str">
        <f t="shared" si="28"/>
        <v>Super Premium</v>
      </c>
      <c r="AG73" t="str">
        <f t="shared" si="28"/>
        <v>Standard</v>
      </c>
      <c r="AH73" t="str">
        <f t="shared" si="28"/>
        <v>Premium</v>
      </c>
      <c r="AI73" t="str">
        <f t="shared" si="28"/>
        <v>Super Premium</v>
      </c>
      <c r="AJ73" t="str">
        <f>VLOOKUP(AJ72,AJ66:EF68,AJ74,FALSE)</f>
        <v>Standard</v>
      </c>
      <c r="AK73" t="str">
        <f t="shared" ref="AK73:CV73" si="29">VLOOKUP(AK72,AK66:EG68,AK74,FALSE)</f>
        <v>Premium</v>
      </c>
      <c r="AL73" t="str">
        <f t="shared" si="29"/>
        <v>Super Premium</v>
      </c>
      <c r="AM73" t="str">
        <f t="shared" si="29"/>
        <v>Standard</v>
      </c>
      <c r="AN73" t="str">
        <f t="shared" si="29"/>
        <v>Premium</v>
      </c>
      <c r="AO73" t="str">
        <f t="shared" si="29"/>
        <v>Super Premium</v>
      </c>
      <c r="AP73" t="str">
        <f t="shared" si="29"/>
        <v>Standard</v>
      </c>
      <c r="AQ73" t="str">
        <f t="shared" si="29"/>
        <v>Premium</v>
      </c>
      <c r="AR73" t="str">
        <f t="shared" si="29"/>
        <v>Super Premium</v>
      </c>
      <c r="AS73" t="str">
        <f t="shared" si="29"/>
        <v>Standard</v>
      </c>
      <c r="AT73" t="str">
        <f t="shared" si="29"/>
        <v>Premium</v>
      </c>
      <c r="AU73" t="str">
        <f t="shared" si="29"/>
        <v>Super Premium</v>
      </c>
      <c r="AV73" t="str">
        <f t="shared" si="29"/>
        <v>Standard</v>
      </c>
      <c r="AW73" t="str">
        <f t="shared" si="29"/>
        <v>Premium</v>
      </c>
      <c r="AX73" t="str">
        <f t="shared" si="29"/>
        <v>Super Premium</v>
      </c>
      <c r="AY73" t="str">
        <f t="shared" si="29"/>
        <v>Standard</v>
      </c>
      <c r="AZ73" t="str">
        <f t="shared" si="29"/>
        <v>Premium</v>
      </c>
      <c r="BA73" t="str">
        <f t="shared" si="29"/>
        <v>Super Premium</v>
      </c>
      <c r="BB73" t="str">
        <f t="shared" si="29"/>
        <v>Standard</v>
      </c>
      <c r="BC73" t="str">
        <f t="shared" si="29"/>
        <v>Premium</v>
      </c>
      <c r="BD73" t="str">
        <f t="shared" si="29"/>
        <v>Super Premium</v>
      </c>
      <c r="BE73" t="str">
        <f t="shared" si="29"/>
        <v>Standard</v>
      </c>
      <c r="BF73" t="str">
        <f t="shared" si="29"/>
        <v>Premium</v>
      </c>
      <c r="BG73" t="str">
        <f t="shared" si="29"/>
        <v>Super Premium</v>
      </c>
      <c r="BH73" t="str">
        <f t="shared" si="29"/>
        <v>Standard</v>
      </c>
      <c r="BI73" t="str">
        <f t="shared" si="29"/>
        <v>Premium</v>
      </c>
      <c r="BJ73" t="str">
        <f t="shared" si="29"/>
        <v>Super Premium</v>
      </c>
      <c r="BK73" t="str">
        <f t="shared" si="29"/>
        <v>Standard</v>
      </c>
      <c r="BL73" t="str">
        <f t="shared" si="29"/>
        <v>Premium</v>
      </c>
      <c r="BM73" t="str">
        <f t="shared" si="29"/>
        <v>Super Premium</v>
      </c>
      <c r="BN73" t="str">
        <f t="shared" si="29"/>
        <v>Standard</v>
      </c>
      <c r="BO73" t="str">
        <f t="shared" si="29"/>
        <v>Premium</v>
      </c>
      <c r="BP73" t="str">
        <f t="shared" si="29"/>
        <v>Super Premium</v>
      </c>
      <c r="BQ73" t="str">
        <f t="shared" si="29"/>
        <v>Standard</v>
      </c>
      <c r="BR73" t="str">
        <f t="shared" si="29"/>
        <v>Premium</v>
      </c>
      <c r="BS73" t="str">
        <f t="shared" si="29"/>
        <v>Super Premium</v>
      </c>
      <c r="BT73" t="str">
        <f t="shared" si="29"/>
        <v>Standard</v>
      </c>
      <c r="BU73" t="str">
        <f t="shared" si="29"/>
        <v>Premium</v>
      </c>
      <c r="BV73" t="str">
        <f t="shared" si="29"/>
        <v>Super Premium</v>
      </c>
      <c r="BW73" t="str">
        <f t="shared" si="29"/>
        <v>Standard</v>
      </c>
      <c r="BX73" t="str">
        <f t="shared" si="29"/>
        <v>Premium</v>
      </c>
      <c r="BY73" t="str">
        <f t="shared" si="29"/>
        <v>Super Premium</v>
      </c>
      <c r="BZ73" t="str">
        <f t="shared" si="29"/>
        <v>Standard</v>
      </c>
      <c r="CA73" t="str">
        <f t="shared" si="29"/>
        <v>Premium</v>
      </c>
      <c r="CB73" t="str">
        <f t="shared" si="29"/>
        <v>Super Premium</v>
      </c>
      <c r="CC73" t="str">
        <f t="shared" si="29"/>
        <v>Standard</v>
      </c>
      <c r="CD73" t="str">
        <f t="shared" si="29"/>
        <v>Premium</v>
      </c>
      <c r="CE73" t="str">
        <f t="shared" si="29"/>
        <v>Super Premium</v>
      </c>
      <c r="CF73" t="str">
        <f t="shared" si="29"/>
        <v>Standard</v>
      </c>
      <c r="CG73" t="str">
        <f t="shared" si="29"/>
        <v>Premium</v>
      </c>
      <c r="CH73" t="str">
        <f t="shared" si="29"/>
        <v>Super Premium</v>
      </c>
      <c r="CI73" t="str">
        <f t="shared" si="29"/>
        <v>Standard</v>
      </c>
      <c r="CJ73" t="str">
        <f t="shared" si="29"/>
        <v>Premium</v>
      </c>
      <c r="CK73" t="str">
        <f t="shared" si="29"/>
        <v>Super Premium</v>
      </c>
      <c r="CL73" t="str">
        <f t="shared" si="29"/>
        <v>Standard</v>
      </c>
      <c r="CM73" t="str">
        <f t="shared" si="29"/>
        <v>Premium</v>
      </c>
      <c r="CN73" t="str">
        <f t="shared" si="29"/>
        <v>Super Premium</v>
      </c>
      <c r="CO73" t="str">
        <f t="shared" si="29"/>
        <v>Standard</v>
      </c>
      <c r="CP73" t="str">
        <f t="shared" si="29"/>
        <v>Premium</v>
      </c>
      <c r="CQ73" t="str">
        <f t="shared" si="29"/>
        <v>Super Premium</v>
      </c>
      <c r="CR73" t="str">
        <f t="shared" si="29"/>
        <v>Standard</v>
      </c>
      <c r="CS73" t="str">
        <f t="shared" si="29"/>
        <v>Premium</v>
      </c>
      <c r="CT73" t="str">
        <f t="shared" si="29"/>
        <v>Super Premium</v>
      </c>
      <c r="CU73" t="str">
        <f t="shared" si="29"/>
        <v>Standard</v>
      </c>
      <c r="CV73" t="str">
        <f t="shared" si="29"/>
        <v>Premium</v>
      </c>
      <c r="CW73" t="str">
        <f t="shared" ref="CW73:DP73" si="30">VLOOKUP(CW72,CW66:GS68,CW74,FALSE)</f>
        <v>Super Premium</v>
      </c>
      <c r="CX73" t="str">
        <f t="shared" si="30"/>
        <v>Standard</v>
      </c>
      <c r="CY73" t="str">
        <f t="shared" si="30"/>
        <v>Premium</v>
      </c>
      <c r="CZ73" t="str">
        <f t="shared" si="30"/>
        <v>Super Premium</v>
      </c>
      <c r="DA73" t="str">
        <f t="shared" si="30"/>
        <v>Standard</v>
      </c>
      <c r="DB73" t="str">
        <f t="shared" si="30"/>
        <v>Premium</v>
      </c>
      <c r="DC73" t="str">
        <f t="shared" si="30"/>
        <v>Super Premium</v>
      </c>
      <c r="DD73" t="str">
        <f t="shared" si="30"/>
        <v>Standard</v>
      </c>
      <c r="DE73" t="str">
        <f t="shared" si="30"/>
        <v>Premium</v>
      </c>
      <c r="DF73" t="str">
        <f t="shared" si="30"/>
        <v>Super Premium</v>
      </c>
      <c r="DG73" t="str">
        <f t="shared" si="30"/>
        <v>Standard</v>
      </c>
      <c r="DH73" t="str">
        <f t="shared" si="30"/>
        <v>Premium</v>
      </c>
      <c r="DI73" t="str">
        <f t="shared" si="30"/>
        <v>Super Premium</v>
      </c>
      <c r="DJ73" t="str">
        <f t="shared" si="30"/>
        <v>Standard</v>
      </c>
      <c r="DK73" t="str">
        <f t="shared" si="30"/>
        <v>Premium</v>
      </c>
      <c r="DL73" t="str">
        <f t="shared" si="30"/>
        <v>Super Premium</v>
      </c>
      <c r="DM73" t="str">
        <f t="shared" si="30"/>
        <v>Standard</v>
      </c>
      <c r="DN73" t="str">
        <f t="shared" si="30"/>
        <v>Premium</v>
      </c>
      <c r="DO73" t="str">
        <f t="shared" si="30"/>
        <v>Super Premium</v>
      </c>
      <c r="DP73" t="str">
        <f t="shared" si="30"/>
        <v>Standard</v>
      </c>
    </row>
    <row r="74" spans="20:121" x14ac:dyDescent="0.25">
      <c r="U74">
        <v>101</v>
      </c>
      <c r="V74">
        <v>100</v>
      </c>
      <c r="W74">
        <v>99</v>
      </c>
      <c r="X74">
        <v>98</v>
      </c>
      <c r="Y74">
        <v>97</v>
      </c>
      <c r="Z74">
        <v>96</v>
      </c>
      <c r="AA74">
        <v>95</v>
      </c>
      <c r="AB74">
        <v>94</v>
      </c>
      <c r="AC74">
        <v>93</v>
      </c>
      <c r="AD74">
        <v>92</v>
      </c>
      <c r="AE74">
        <v>91</v>
      </c>
      <c r="AF74">
        <v>90</v>
      </c>
      <c r="AG74">
        <v>89</v>
      </c>
      <c r="AH74">
        <v>88</v>
      </c>
      <c r="AI74">
        <v>87</v>
      </c>
      <c r="AJ74">
        <v>86</v>
      </c>
      <c r="AK74">
        <v>85</v>
      </c>
      <c r="AL74">
        <v>84</v>
      </c>
      <c r="AM74">
        <v>83</v>
      </c>
      <c r="AN74">
        <v>82</v>
      </c>
      <c r="AO74">
        <v>81</v>
      </c>
      <c r="AP74">
        <v>80</v>
      </c>
      <c r="AQ74">
        <v>79</v>
      </c>
      <c r="AR74">
        <v>78</v>
      </c>
      <c r="AS74">
        <v>77</v>
      </c>
      <c r="AT74">
        <v>76</v>
      </c>
      <c r="AU74">
        <v>75</v>
      </c>
      <c r="AV74">
        <v>74</v>
      </c>
      <c r="AW74">
        <v>73</v>
      </c>
      <c r="AX74">
        <v>72</v>
      </c>
      <c r="AY74">
        <v>71</v>
      </c>
      <c r="AZ74">
        <v>70</v>
      </c>
      <c r="BA74">
        <v>69</v>
      </c>
      <c r="BB74">
        <v>68</v>
      </c>
      <c r="BC74">
        <v>67</v>
      </c>
      <c r="BD74">
        <v>66</v>
      </c>
      <c r="BE74">
        <v>65</v>
      </c>
      <c r="BF74">
        <v>64</v>
      </c>
      <c r="BG74">
        <v>63</v>
      </c>
      <c r="BH74">
        <v>62</v>
      </c>
      <c r="BI74">
        <v>61</v>
      </c>
      <c r="BJ74">
        <v>60</v>
      </c>
      <c r="BK74">
        <v>59</v>
      </c>
      <c r="BL74">
        <v>58</v>
      </c>
      <c r="BM74">
        <v>57</v>
      </c>
      <c r="BN74">
        <v>56</v>
      </c>
      <c r="BO74">
        <v>55</v>
      </c>
      <c r="BP74">
        <v>54</v>
      </c>
      <c r="BQ74">
        <v>53</v>
      </c>
      <c r="BR74">
        <v>52</v>
      </c>
      <c r="BS74">
        <v>51</v>
      </c>
      <c r="BT74">
        <v>50</v>
      </c>
      <c r="BU74">
        <v>49</v>
      </c>
      <c r="BV74">
        <v>48</v>
      </c>
      <c r="BW74">
        <v>47</v>
      </c>
      <c r="BX74">
        <v>46</v>
      </c>
      <c r="BY74">
        <v>45</v>
      </c>
      <c r="BZ74">
        <v>44</v>
      </c>
      <c r="CA74">
        <v>43</v>
      </c>
      <c r="CB74">
        <v>42</v>
      </c>
      <c r="CC74">
        <v>41</v>
      </c>
      <c r="CD74">
        <v>40</v>
      </c>
      <c r="CE74">
        <v>39</v>
      </c>
      <c r="CF74">
        <v>38</v>
      </c>
      <c r="CG74">
        <v>37</v>
      </c>
      <c r="CH74">
        <v>36</v>
      </c>
      <c r="CI74">
        <v>35</v>
      </c>
      <c r="CJ74">
        <v>34</v>
      </c>
      <c r="CK74">
        <v>33</v>
      </c>
      <c r="CL74">
        <v>32</v>
      </c>
      <c r="CM74">
        <v>31</v>
      </c>
      <c r="CN74">
        <v>30</v>
      </c>
      <c r="CO74">
        <v>29</v>
      </c>
      <c r="CP74">
        <v>28</v>
      </c>
      <c r="CQ74">
        <v>27</v>
      </c>
      <c r="CR74">
        <v>26</v>
      </c>
      <c r="CS74">
        <v>25</v>
      </c>
      <c r="CT74">
        <v>24</v>
      </c>
      <c r="CU74">
        <v>23</v>
      </c>
      <c r="CV74">
        <v>22</v>
      </c>
      <c r="CW74">
        <v>21</v>
      </c>
      <c r="CX74">
        <v>20</v>
      </c>
      <c r="CY74">
        <v>19</v>
      </c>
      <c r="CZ74">
        <v>18</v>
      </c>
      <c r="DA74">
        <v>17</v>
      </c>
      <c r="DB74">
        <v>16</v>
      </c>
      <c r="DC74">
        <v>15</v>
      </c>
      <c r="DD74">
        <v>14</v>
      </c>
      <c r="DE74">
        <v>13</v>
      </c>
      <c r="DF74">
        <v>12</v>
      </c>
      <c r="DG74">
        <v>11</v>
      </c>
      <c r="DH74">
        <v>10</v>
      </c>
      <c r="DI74">
        <v>9</v>
      </c>
      <c r="DJ74">
        <v>8</v>
      </c>
      <c r="DK74">
        <v>7</v>
      </c>
      <c r="DL74">
        <v>6</v>
      </c>
      <c r="DM74">
        <v>5</v>
      </c>
      <c r="DN74">
        <v>4</v>
      </c>
      <c r="DO74">
        <v>3</v>
      </c>
      <c r="DP74">
        <v>2</v>
      </c>
      <c r="DQ74">
        <v>1</v>
      </c>
    </row>
    <row r="75" spans="20:121" x14ac:dyDescent="0.25">
      <c r="U75" t="e">
        <f>U71&amp;U73</f>
        <v>#NUM!</v>
      </c>
      <c r="V75" t="e">
        <f>V71&amp;V73</f>
        <v>#NUM!</v>
      </c>
      <c r="W75" t="e">
        <f t="shared" ref="W75:CH75" si="31">W71&amp;W73</f>
        <v>#NUM!</v>
      </c>
      <c r="X75" t="e">
        <f t="shared" si="31"/>
        <v>#NUM!</v>
      </c>
      <c r="Y75" t="e">
        <f t="shared" si="31"/>
        <v>#NUM!</v>
      </c>
      <c r="Z75" t="e">
        <f t="shared" si="31"/>
        <v>#NUM!</v>
      </c>
      <c r="AA75" t="e">
        <f t="shared" si="31"/>
        <v>#NUM!</v>
      </c>
      <c r="AB75" t="e">
        <f t="shared" si="31"/>
        <v>#NUM!</v>
      </c>
      <c r="AC75" t="e">
        <f t="shared" si="31"/>
        <v>#NUM!</v>
      </c>
      <c r="AD75" t="e">
        <f t="shared" si="31"/>
        <v>#NUM!</v>
      </c>
      <c r="AE75" t="e">
        <f t="shared" si="31"/>
        <v>#NUM!</v>
      </c>
      <c r="AF75" t="e">
        <f t="shared" si="31"/>
        <v>#NUM!</v>
      </c>
      <c r="AG75" t="e">
        <f t="shared" si="31"/>
        <v>#NUM!</v>
      </c>
      <c r="AH75" t="e">
        <f t="shared" si="31"/>
        <v>#NUM!</v>
      </c>
      <c r="AI75" t="e">
        <f t="shared" si="31"/>
        <v>#NUM!</v>
      </c>
      <c r="AJ75" t="e">
        <f t="shared" si="31"/>
        <v>#NUM!</v>
      </c>
      <c r="AK75" t="e">
        <f t="shared" si="31"/>
        <v>#NUM!</v>
      </c>
      <c r="AL75" t="e">
        <f t="shared" si="31"/>
        <v>#NUM!</v>
      </c>
      <c r="AM75" t="e">
        <f t="shared" si="31"/>
        <v>#NUM!</v>
      </c>
      <c r="AN75" t="e">
        <f t="shared" si="31"/>
        <v>#NUM!</v>
      </c>
      <c r="AO75" t="e">
        <f t="shared" si="31"/>
        <v>#NUM!</v>
      </c>
      <c r="AP75" t="e">
        <f t="shared" si="31"/>
        <v>#NUM!</v>
      </c>
      <c r="AQ75" t="e">
        <f t="shared" si="31"/>
        <v>#NUM!</v>
      </c>
      <c r="AR75" t="e">
        <f t="shared" si="31"/>
        <v>#NUM!</v>
      </c>
      <c r="AS75" t="e">
        <f t="shared" si="31"/>
        <v>#NUM!</v>
      </c>
      <c r="AT75" t="e">
        <f t="shared" si="31"/>
        <v>#NUM!</v>
      </c>
      <c r="AU75" t="e">
        <f t="shared" si="31"/>
        <v>#NUM!</v>
      </c>
      <c r="AV75" t="e">
        <f t="shared" si="31"/>
        <v>#NUM!</v>
      </c>
      <c r="AW75" t="e">
        <f t="shared" si="31"/>
        <v>#NUM!</v>
      </c>
      <c r="AX75" t="e">
        <f t="shared" si="31"/>
        <v>#NUM!</v>
      </c>
      <c r="AY75" t="e">
        <f t="shared" si="31"/>
        <v>#NUM!</v>
      </c>
      <c r="AZ75" t="e">
        <f t="shared" si="31"/>
        <v>#NUM!</v>
      </c>
      <c r="BA75" t="e">
        <f t="shared" si="31"/>
        <v>#NUM!</v>
      </c>
      <c r="BB75" t="e">
        <f t="shared" si="31"/>
        <v>#NUM!</v>
      </c>
      <c r="BC75" t="e">
        <f t="shared" si="31"/>
        <v>#NUM!</v>
      </c>
      <c r="BD75" t="e">
        <f t="shared" si="31"/>
        <v>#NUM!</v>
      </c>
      <c r="BE75" t="e">
        <f t="shared" si="31"/>
        <v>#NUM!</v>
      </c>
      <c r="BF75" t="e">
        <f t="shared" si="31"/>
        <v>#NUM!</v>
      </c>
      <c r="BG75" t="e">
        <f t="shared" si="31"/>
        <v>#NUM!</v>
      </c>
      <c r="BH75" t="e">
        <f t="shared" si="31"/>
        <v>#NUM!</v>
      </c>
      <c r="BI75" t="e">
        <f t="shared" si="31"/>
        <v>#NUM!</v>
      </c>
      <c r="BJ75" t="e">
        <f t="shared" si="31"/>
        <v>#NUM!</v>
      </c>
      <c r="BK75" t="e">
        <f t="shared" si="31"/>
        <v>#NUM!</v>
      </c>
      <c r="BL75" t="e">
        <f t="shared" si="31"/>
        <v>#NUM!</v>
      </c>
      <c r="BM75" t="e">
        <f t="shared" si="31"/>
        <v>#NUM!</v>
      </c>
      <c r="BN75" t="e">
        <f t="shared" si="31"/>
        <v>#NUM!</v>
      </c>
      <c r="BO75" t="e">
        <f t="shared" si="31"/>
        <v>#NUM!</v>
      </c>
      <c r="BP75" t="e">
        <f t="shared" si="31"/>
        <v>#NUM!</v>
      </c>
      <c r="BQ75" t="e">
        <f t="shared" si="31"/>
        <v>#NUM!</v>
      </c>
      <c r="BR75" t="e">
        <f t="shared" si="31"/>
        <v>#NUM!</v>
      </c>
      <c r="BS75" t="e">
        <f t="shared" si="31"/>
        <v>#NUM!</v>
      </c>
      <c r="BT75" t="e">
        <f t="shared" si="31"/>
        <v>#NUM!</v>
      </c>
      <c r="BU75" t="e">
        <f t="shared" si="31"/>
        <v>#NUM!</v>
      </c>
      <c r="BV75" t="e">
        <f t="shared" si="31"/>
        <v>#NUM!</v>
      </c>
      <c r="BW75" t="e">
        <f t="shared" si="31"/>
        <v>#NUM!</v>
      </c>
      <c r="BX75" t="e">
        <f t="shared" si="31"/>
        <v>#NUM!</v>
      </c>
      <c r="BY75" t="e">
        <f t="shared" si="31"/>
        <v>#NUM!</v>
      </c>
      <c r="BZ75" t="e">
        <f t="shared" si="31"/>
        <v>#NUM!</v>
      </c>
      <c r="CA75" t="e">
        <f t="shared" si="31"/>
        <v>#NUM!</v>
      </c>
      <c r="CB75" t="e">
        <f t="shared" si="31"/>
        <v>#NUM!</v>
      </c>
      <c r="CC75" t="e">
        <f t="shared" si="31"/>
        <v>#NUM!</v>
      </c>
      <c r="CD75" t="e">
        <f t="shared" si="31"/>
        <v>#NUM!</v>
      </c>
      <c r="CE75" t="e">
        <f t="shared" si="31"/>
        <v>#NUM!</v>
      </c>
      <c r="CF75" t="e">
        <f t="shared" si="31"/>
        <v>#NUM!</v>
      </c>
      <c r="CG75" t="e">
        <f t="shared" si="31"/>
        <v>#NUM!</v>
      </c>
      <c r="CH75" t="e">
        <f t="shared" si="31"/>
        <v>#NUM!</v>
      </c>
      <c r="CI75" t="e">
        <f t="shared" ref="CI75:DP75" si="32">CI71&amp;CI73</f>
        <v>#NUM!</v>
      </c>
      <c r="CJ75" t="e">
        <f t="shared" si="32"/>
        <v>#NUM!</v>
      </c>
      <c r="CK75" t="e">
        <f t="shared" si="32"/>
        <v>#NUM!</v>
      </c>
      <c r="CL75" t="e">
        <f t="shared" si="32"/>
        <v>#NUM!</v>
      </c>
      <c r="CM75" t="e">
        <f t="shared" si="32"/>
        <v>#NUM!</v>
      </c>
      <c r="CN75" t="e">
        <f t="shared" si="32"/>
        <v>#NUM!</v>
      </c>
      <c r="CO75" t="e">
        <f t="shared" si="32"/>
        <v>#NUM!</v>
      </c>
      <c r="CP75" t="e">
        <f t="shared" si="32"/>
        <v>#NUM!</v>
      </c>
      <c r="CQ75" t="e">
        <f t="shared" si="32"/>
        <v>#NUM!</v>
      </c>
      <c r="CR75" t="e">
        <f t="shared" si="32"/>
        <v>#NUM!</v>
      </c>
      <c r="CS75" t="e">
        <f t="shared" si="32"/>
        <v>#NUM!</v>
      </c>
      <c r="CT75" t="e">
        <f t="shared" si="32"/>
        <v>#NUM!</v>
      </c>
      <c r="CU75" t="e">
        <f t="shared" si="32"/>
        <v>#NUM!</v>
      </c>
      <c r="CV75" t="e">
        <f t="shared" si="32"/>
        <v>#NUM!</v>
      </c>
      <c r="CW75" t="e">
        <f t="shared" si="32"/>
        <v>#NUM!</v>
      </c>
      <c r="CX75" t="e">
        <f t="shared" si="32"/>
        <v>#NUM!</v>
      </c>
      <c r="CY75" t="e">
        <f t="shared" si="32"/>
        <v>#NUM!</v>
      </c>
      <c r="CZ75" t="e">
        <f t="shared" si="32"/>
        <v>#NUM!</v>
      </c>
      <c r="DA75" t="e">
        <f t="shared" si="32"/>
        <v>#NUM!</v>
      </c>
      <c r="DB75" t="e">
        <f t="shared" si="32"/>
        <v>#NUM!</v>
      </c>
      <c r="DC75" t="e">
        <f t="shared" si="32"/>
        <v>#NUM!</v>
      </c>
      <c r="DD75" t="e">
        <f t="shared" si="32"/>
        <v>#NUM!</v>
      </c>
      <c r="DE75" t="e">
        <f t="shared" si="32"/>
        <v>#NUM!</v>
      </c>
      <c r="DF75" t="e">
        <f t="shared" si="32"/>
        <v>#NUM!</v>
      </c>
      <c r="DG75" t="e">
        <f t="shared" si="32"/>
        <v>#NUM!</v>
      </c>
      <c r="DH75" t="e">
        <f t="shared" si="32"/>
        <v>#NUM!</v>
      </c>
      <c r="DI75" t="e">
        <f t="shared" si="32"/>
        <v>#NUM!</v>
      </c>
      <c r="DJ75" t="e">
        <f t="shared" si="32"/>
        <v>#NUM!</v>
      </c>
      <c r="DK75" t="e">
        <f t="shared" si="32"/>
        <v>#NUM!</v>
      </c>
      <c r="DL75" t="e">
        <f t="shared" si="32"/>
        <v>#NUM!</v>
      </c>
      <c r="DM75" t="e">
        <f t="shared" si="32"/>
        <v>#NUM!</v>
      </c>
      <c r="DN75" t="e">
        <f t="shared" si="32"/>
        <v>#NUM!</v>
      </c>
      <c r="DO75" t="e">
        <f t="shared" si="32"/>
        <v>#NUM!</v>
      </c>
      <c r="DP75" t="e">
        <f t="shared" si="32"/>
        <v>#NUM!</v>
      </c>
    </row>
  </sheetData>
  <mergeCells count="1">
    <mergeCell ref="F5:F10"/>
  </mergeCells>
  <conditionalFormatting sqref="V23">
    <cfRule type="cellIs" dxfId="1" priority="1" operator="equal">
      <formula>$V$22</formula>
    </cfRule>
  </conditionalFormatting>
  <pageMargins left="0.7" right="0.7" top="0.75" bottom="0.75" header="0.3" footer="0.3"/>
  <pageSetup paperSize="21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27"/>
  <sheetViews>
    <sheetView zoomScale="85" zoomScaleNormal="85" workbookViewId="0">
      <selection activeCell="O15" sqref="O15"/>
    </sheetView>
  </sheetViews>
  <sheetFormatPr defaultColWidth="8.85546875" defaultRowHeight="15" x14ac:dyDescent="0.25"/>
  <cols>
    <col min="1" max="1" width="4" style="7" customWidth="1"/>
    <col min="2" max="3" width="8.85546875" style="7"/>
    <col min="4" max="4" width="8.85546875" style="7" customWidth="1"/>
    <col min="5" max="7" width="9.85546875" style="7" customWidth="1"/>
    <col min="8" max="8" width="11.140625" style="7" customWidth="1"/>
    <col min="9" max="10" width="8.85546875" style="7"/>
    <col min="11" max="15" width="21.5703125" style="7" customWidth="1"/>
    <col min="16" max="22" width="8.85546875" style="7"/>
    <col min="23" max="23" width="9.28515625" style="7" bestFit="1" customWidth="1"/>
    <col min="24" max="16384" width="8.85546875" style="7"/>
  </cols>
  <sheetData>
    <row r="2" spans="2:23" x14ac:dyDescent="0.25">
      <c r="B2" s="15" t="s">
        <v>127</v>
      </c>
    </row>
    <row r="3" spans="2:23" x14ac:dyDescent="0.25">
      <c r="N3" s="7" t="s">
        <v>101</v>
      </c>
    </row>
    <row r="4" spans="2:23" ht="15.75" thickBot="1" x14ac:dyDescent="0.3">
      <c r="B4" s="10" t="s">
        <v>4</v>
      </c>
    </row>
    <row r="5" spans="2:23" ht="15.75" thickBot="1" x14ac:dyDescent="0.3">
      <c r="B5" s="6" t="s">
        <v>54</v>
      </c>
      <c r="F5" s="229" t="s">
        <v>60</v>
      </c>
      <c r="G5" s="7" t="s">
        <v>38</v>
      </c>
      <c r="J5" s="11">
        <f>'MFL Flexible Range Calculation'!J5</f>
        <v>1</v>
      </c>
      <c r="N5" s="7" t="s">
        <v>65</v>
      </c>
      <c r="P5" s="7" t="s">
        <v>472</v>
      </c>
    </row>
    <row r="6" spans="2:23" ht="14.45" customHeight="1" thickBot="1" x14ac:dyDescent="0.3">
      <c r="B6" s="7" t="s">
        <v>57</v>
      </c>
      <c r="D6" s="11">
        <f>'MFL Flexible Range Calculation'!D6</f>
        <v>7</v>
      </c>
      <c r="F6" s="229"/>
      <c r="G6" s="7" t="s">
        <v>49</v>
      </c>
      <c r="J6" s="11">
        <f>'MFL Flexible Range Calculation'!J6</f>
        <v>0</v>
      </c>
      <c r="N6" s="7" t="s">
        <v>66</v>
      </c>
      <c r="P6" s="7" t="s">
        <v>473</v>
      </c>
    </row>
    <row r="7" spans="2:23" ht="15.75" thickBot="1" x14ac:dyDescent="0.3">
      <c r="F7" s="229"/>
      <c r="G7" s="7" t="s">
        <v>52</v>
      </c>
      <c r="J7" s="11">
        <f>'MFL Flexible Range Calculation'!J7</f>
        <v>0</v>
      </c>
      <c r="N7" s="7" t="s">
        <v>67</v>
      </c>
      <c r="P7" s="7" t="s">
        <v>72</v>
      </c>
    </row>
    <row r="8" spans="2:23" ht="15.75" thickBot="1" x14ac:dyDescent="0.3">
      <c r="B8" s="6" t="s">
        <v>55</v>
      </c>
      <c r="F8" s="229"/>
      <c r="G8" s="7" t="s">
        <v>51</v>
      </c>
      <c r="J8" s="11">
        <f>'MFL Flexible Range Calculation'!J8</f>
        <v>0</v>
      </c>
      <c r="N8" s="7" t="s">
        <v>69</v>
      </c>
      <c r="P8" s="7" t="s">
        <v>70</v>
      </c>
    </row>
    <row r="9" spans="2:23" ht="15.75" thickBot="1" x14ac:dyDescent="0.3">
      <c r="B9" s="7" t="s">
        <v>15</v>
      </c>
      <c r="D9" s="11">
        <f>'MFL Flexible Range Calculation'!D9</f>
        <v>2</v>
      </c>
      <c r="F9" s="229"/>
      <c r="G9" s="7" t="s">
        <v>50</v>
      </c>
      <c r="J9" s="11">
        <f>'MFL Flexible Range Calculation'!J9</f>
        <v>0</v>
      </c>
      <c r="N9" s="7" t="s">
        <v>68</v>
      </c>
      <c r="P9" s="7" t="s">
        <v>71</v>
      </c>
    </row>
    <row r="10" spans="2:23" ht="15.75" thickBot="1" x14ac:dyDescent="0.3">
      <c r="B10" s="7" t="s">
        <v>17</v>
      </c>
      <c r="D10" s="11">
        <f>'MFL Flexible Range Calculation'!D10</f>
        <v>3</v>
      </c>
      <c r="F10" s="229"/>
      <c r="G10" s="7" t="s">
        <v>46</v>
      </c>
      <c r="J10" s="11">
        <f>'MFL Flexible Range Calculation'!J10</f>
        <v>1</v>
      </c>
    </row>
    <row r="11" spans="2:23" ht="15.75" thickBot="1" x14ac:dyDescent="0.3">
      <c r="B11" s="7" t="s">
        <v>19</v>
      </c>
      <c r="D11" s="11">
        <f>'MFL Flexible Range Calculation'!D11</f>
        <v>2</v>
      </c>
      <c r="G11" s="7" t="s">
        <v>40</v>
      </c>
      <c r="J11" s="11">
        <f>'MFL Flexible Range Calculation'!J11</f>
        <v>1</v>
      </c>
      <c r="N11" s="7" t="s">
        <v>80</v>
      </c>
      <c r="P11" s="7" t="s">
        <v>88</v>
      </c>
    </row>
    <row r="12" spans="2:23" ht="15.75" thickBot="1" x14ac:dyDescent="0.3">
      <c r="G12" s="7" t="s">
        <v>41</v>
      </c>
      <c r="J12" s="11">
        <f>'MFL Flexible Range Calculation'!J12</f>
        <v>1</v>
      </c>
      <c r="N12" s="7" t="s">
        <v>81</v>
      </c>
      <c r="P12" s="7" t="s">
        <v>89</v>
      </c>
    </row>
    <row r="13" spans="2:23" ht="15.75" thickBot="1" x14ac:dyDescent="0.3">
      <c r="B13" s="6" t="s">
        <v>56</v>
      </c>
      <c r="G13" s="7" t="s">
        <v>48</v>
      </c>
      <c r="J13" s="11">
        <f>'MFL Flexible Range Calculation'!J13</f>
        <v>0</v>
      </c>
      <c r="N13" s="7" t="s">
        <v>83</v>
      </c>
      <c r="P13" s="7" t="s">
        <v>87</v>
      </c>
    </row>
    <row r="14" spans="2:23" ht="15.75" thickBot="1" x14ac:dyDescent="0.3">
      <c r="B14" s="7" t="s">
        <v>22</v>
      </c>
      <c r="D14" s="11">
        <f>'MFL Flexible Range Calculation'!D14</f>
        <v>3</v>
      </c>
      <c r="G14" s="7" t="s">
        <v>47</v>
      </c>
      <c r="J14" s="11">
        <f>'MFL Flexible Range Calculation'!J14</f>
        <v>0</v>
      </c>
      <c r="N14" s="7" t="s">
        <v>82</v>
      </c>
      <c r="P14" s="7" t="s">
        <v>86</v>
      </c>
    </row>
    <row r="15" spans="2:23" ht="15.75" thickBot="1" x14ac:dyDescent="0.3">
      <c r="B15" s="7" t="s">
        <v>23</v>
      </c>
      <c r="D15" s="11">
        <f>'MFL Flexible Range Calculation'!D15</f>
        <v>1</v>
      </c>
      <c r="G15" s="7" t="s">
        <v>39</v>
      </c>
      <c r="J15" s="11">
        <f>'MFL Flexible Range Calculation'!J15</f>
        <v>0</v>
      </c>
      <c r="N15" s="7" t="s">
        <v>84</v>
      </c>
      <c r="P15" s="7" t="s">
        <v>85</v>
      </c>
    </row>
    <row r="16" spans="2:23" ht="15.75" thickBot="1" x14ac:dyDescent="0.3">
      <c r="B16" s="7" t="s">
        <v>24</v>
      </c>
      <c r="D16" s="11">
        <f>'MFL Flexible Range Calculation'!D16</f>
        <v>0</v>
      </c>
      <c r="G16" s="7" t="s">
        <v>37</v>
      </c>
      <c r="J16" s="11">
        <f>'MFL Flexible Range Calculation'!J16</f>
        <v>1</v>
      </c>
      <c r="W16" s="23"/>
    </row>
    <row r="17" spans="2:21" ht="15.75" thickBot="1" x14ac:dyDescent="0.3">
      <c r="B17" s="7" t="s">
        <v>25</v>
      </c>
      <c r="D17" s="11">
        <f>'MFL Flexible Range Calculation'!D17</f>
        <v>0</v>
      </c>
      <c r="G17" s="7" t="s">
        <v>36</v>
      </c>
      <c r="J17" s="11">
        <f>'MFL Flexible Range Calculation'!J17</f>
        <v>1</v>
      </c>
      <c r="N17" s="7" t="s">
        <v>93</v>
      </c>
      <c r="P17" s="7" t="s">
        <v>94</v>
      </c>
    </row>
    <row r="18" spans="2:21" ht="15.75" thickBot="1" x14ac:dyDescent="0.3">
      <c r="B18" s="7" t="s">
        <v>26</v>
      </c>
      <c r="D18" s="11">
        <f>'MFL Flexible Range Calculation'!D18</f>
        <v>1</v>
      </c>
      <c r="G18" s="7" t="s">
        <v>43</v>
      </c>
      <c r="J18" s="11">
        <f>'MFL Flexible Range Calculation'!J18</f>
        <v>0</v>
      </c>
      <c r="N18" s="7" t="s">
        <v>92</v>
      </c>
      <c r="P18" s="7" t="s">
        <v>96</v>
      </c>
    </row>
    <row r="19" spans="2:21" ht="15.75" thickBot="1" x14ac:dyDescent="0.3">
      <c r="B19" s="7" t="s">
        <v>27</v>
      </c>
      <c r="D19" s="11">
        <f>'MFL Flexible Range Calculation'!D19</f>
        <v>2</v>
      </c>
      <c r="G19" s="7" t="s">
        <v>44</v>
      </c>
      <c r="J19" s="11">
        <f>'MFL Flexible Range Calculation'!J19</f>
        <v>0</v>
      </c>
      <c r="N19" s="7" t="s">
        <v>97</v>
      </c>
      <c r="P19" s="7" t="s">
        <v>99</v>
      </c>
    </row>
    <row r="20" spans="2:21" ht="15.75" thickBot="1" x14ac:dyDescent="0.3">
      <c r="G20" s="7" t="s">
        <v>45</v>
      </c>
      <c r="J20" s="11">
        <f>'MFL Flexible Range Calculation'!J20</f>
        <v>0</v>
      </c>
      <c r="N20" s="7" t="s">
        <v>98</v>
      </c>
      <c r="P20" s="7" t="s">
        <v>100</v>
      </c>
    </row>
    <row r="21" spans="2:21" ht="15.75" thickBot="1" x14ac:dyDescent="0.3">
      <c r="F21" s="12"/>
      <c r="G21" s="12" t="s">
        <v>35</v>
      </c>
      <c r="H21" s="12"/>
      <c r="J21" s="11">
        <f>'MFL Flexible Range Calculation'!J21</f>
        <v>1</v>
      </c>
      <c r="N21" s="7" t="s">
        <v>91</v>
      </c>
      <c r="P21" s="7" t="s">
        <v>95</v>
      </c>
    </row>
    <row r="22" spans="2:21" ht="15.75" thickBot="1" x14ac:dyDescent="0.3">
      <c r="G22" s="7" t="s">
        <v>42</v>
      </c>
      <c r="J22" s="11">
        <f>'MFL Flexible Range Calculation'!J22</f>
        <v>0</v>
      </c>
    </row>
    <row r="23" spans="2:21" s="9" customFormat="1" x14ac:dyDescent="0.25"/>
    <row r="25" spans="2:21" x14ac:dyDescent="0.25">
      <c r="B25" s="10" t="s">
        <v>62</v>
      </c>
    </row>
    <row r="26" spans="2:21" ht="14.45" customHeight="1" x14ac:dyDescent="0.25">
      <c r="B26" s="6" t="s">
        <v>63</v>
      </c>
      <c r="F26" s="6" t="s">
        <v>74</v>
      </c>
      <c r="G26" s="18" t="s">
        <v>4</v>
      </c>
      <c r="H26" s="19" t="s">
        <v>79</v>
      </c>
      <c r="I26" s="19" t="s">
        <v>78</v>
      </c>
      <c r="J26" s="20"/>
      <c r="K26" s="20" t="s">
        <v>74</v>
      </c>
      <c r="L26" s="18" t="s">
        <v>3</v>
      </c>
      <c r="M26" s="19" t="s">
        <v>79</v>
      </c>
      <c r="N26" s="19" t="s">
        <v>78</v>
      </c>
      <c r="Q26" s="6" t="s">
        <v>75</v>
      </c>
    </row>
    <row r="27" spans="2:21" x14ac:dyDescent="0.25">
      <c r="B27" s="7" t="s">
        <v>64</v>
      </c>
      <c r="C27" s="17">
        <f>'Input Processing'!D4-D6</f>
        <v>-7</v>
      </c>
      <c r="F27" s="7" t="s">
        <v>77</v>
      </c>
      <c r="G27" s="19" t="s">
        <v>15</v>
      </c>
      <c r="H27" s="19">
        <f>SUM(D9:D10)/D6</f>
        <v>0.7142857142857143</v>
      </c>
      <c r="I27" s="19">
        <f>H27/SUM(H27:H28)</f>
        <v>0.5</v>
      </c>
      <c r="J27" s="19"/>
      <c r="K27" s="19" t="s">
        <v>77</v>
      </c>
      <c r="L27" s="19" t="s">
        <v>15</v>
      </c>
      <c r="M27" s="19" t="e">
        <f>SUM('Input Processing'!D7:D8)/'Input Processing'!D4</f>
        <v>#DIV/0!</v>
      </c>
      <c r="N27" s="19" t="e">
        <f>M27/SUM(M27:M28)</f>
        <v>#DIV/0!</v>
      </c>
      <c r="O27" s="7" t="e">
        <f>N27-I27</f>
        <v>#DIV/0!</v>
      </c>
      <c r="Q27" s="7" t="s">
        <v>90</v>
      </c>
      <c r="R27" s="22">
        <f>SUM(U27:U32)/COUNTIF(D14:D19,"&lt;&gt;0")</f>
        <v>0</v>
      </c>
      <c r="T27" s="19" t="s">
        <v>22</v>
      </c>
      <c r="U27" s="19">
        <f>MIN(1,IFERROR('Input Processing'!D12/D14,0))</f>
        <v>0</v>
      </c>
    </row>
    <row r="28" spans="2:21" x14ac:dyDescent="0.25">
      <c r="B28" s="7" t="s">
        <v>73</v>
      </c>
      <c r="C28" s="17" t="str">
        <f>IF(C27&gt;(D6/2.5),"SIZELARGE",IF(AND((C27&gt;=(2)),(C27&lt;=(D6/2.5))),"SIZESLARG",IF(C27&lt;=(-2),"SIZESMALL",IF(OR(C27=(1),C27=(-1)),"SIZESUIT",IF(C27=0,"SIZEPERF","")))))</f>
        <v>SIZESMALL</v>
      </c>
      <c r="G28" s="21" t="s">
        <v>17</v>
      </c>
      <c r="H28" s="19">
        <f>SUM(D10:D11)/D6</f>
        <v>0.7142857142857143</v>
      </c>
      <c r="I28" s="19">
        <f>H28/SUM(H27:H28)</f>
        <v>0.5</v>
      </c>
      <c r="J28" s="19"/>
      <c r="K28" s="19"/>
      <c r="L28" s="21" t="s">
        <v>17</v>
      </c>
      <c r="M28" s="19" t="e">
        <f>SUM('Input Processing'!D8:D9)/'Input Processing'!D4</f>
        <v>#DIV/0!</v>
      </c>
      <c r="N28" s="19" t="e">
        <f>M28/SUM(M27:M28)</f>
        <v>#DIV/0!</v>
      </c>
      <c r="Q28" s="7" t="s">
        <v>73</v>
      </c>
      <c r="R28" s="7" t="str">
        <f>IF(AND(R27&lt;0.3),"FLAV30",IF(AND(R27&gt;=0.3,R27&lt;0.5),"FLAV50",IF(AND(R27&gt;=0.5,R27&lt;0.75),"FLAV75",IF(AND(R27&gt;=0.75,R27&lt;1),"FLAV99",IF(R27=1,"FLAV100","F")))))</f>
        <v>FLAV30</v>
      </c>
      <c r="T28" s="19" t="s">
        <v>23</v>
      </c>
      <c r="U28" s="19">
        <f>MIN(1,IFERROR('Input Processing'!D13/D15,0))</f>
        <v>0</v>
      </c>
    </row>
    <row r="29" spans="2:21" x14ac:dyDescent="0.25">
      <c r="B29" s="7" t="s">
        <v>76</v>
      </c>
      <c r="C29" s="17" t="str">
        <f>IF(C27=0,"",IF(C27=-1,"Add 1 gin",IF(C27=1,"Remove 1 gin",IF(C27&gt;1,"Remove "&amp;ABS(C27)&amp;" gins",IF(C27&lt;-1,"Add "&amp;ABS(C27)&amp;" gins","F")))))</f>
        <v>Add 7 gins</v>
      </c>
      <c r="F29" s="7" t="s">
        <v>64</v>
      </c>
      <c r="G29" s="7" t="e">
        <f>N27-I27</f>
        <v>#DIV/0!</v>
      </c>
      <c r="T29" s="19" t="s">
        <v>24</v>
      </c>
      <c r="U29" s="19">
        <f>MIN(1,IFERROR('Input Processing'!D14/D16,0))</f>
        <v>0</v>
      </c>
    </row>
    <row r="30" spans="2:21" x14ac:dyDescent="0.25">
      <c r="F30" s="7" t="s">
        <v>73</v>
      </c>
      <c r="G30" s="7" t="e">
        <f>IF(G29&lt;-0.2,"PRICEPREMI",IF(AND(G29&gt;=-0.2,G29&lt;0),"PRICESPREM",IF(G29=0,"PRICEPERF",IF(AND(G29&lt;=0.2,G29&gt;0),"PRICESSTAN",IF(G29&gt;0.2,"PRICESTAND","F")))))</f>
        <v>#DIV/0!</v>
      </c>
      <c r="T30" s="19" t="s">
        <v>25</v>
      </c>
      <c r="U30" s="19">
        <f>MIN(1,IFERROR('Input Processing'!D15/D17,0))</f>
        <v>0</v>
      </c>
    </row>
    <row r="31" spans="2:21" x14ac:dyDescent="0.25">
      <c r="T31" s="19" t="s">
        <v>26</v>
      </c>
      <c r="U31" s="19">
        <f>MIN(1,IFERROR('Input Processing'!D16/D18,0))</f>
        <v>0</v>
      </c>
    </row>
    <row r="32" spans="2:21" x14ac:dyDescent="0.25">
      <c r="T32" s="19" t="s">
        <v>27</v>
      </c>
      <c r="U32" s="19">
        <f>MIN(1,IFERROR('Input Processing'!D17/D19,0))</f>
        <v>0</v>
      </c>
    </row>
    <row r="34" spans="2:14" s="9" customFormat="1" x14ac:dyDescent="0.25"/>
    <row r="36" spans="2:14" x14ac:dyDescent="0.25">
      <c r="B36" s="10" t="s">
        <v>105</v>
      </c>
    </row>
    <row r="38" spans="2:14" x14ac:dyDescent="0.25">
      <c r="B38" s="6" t="s">
        <v>74</v>
      </c>
      <c r="C38" s="18" t="s">
        <v>4</v>
      </c>
      <c r="D38" s="18" t="s">
        <v>3</v>
      </c>
    </row>
    <row r="39" spans="2:14" x14ac:dyDescent="0.25">
      <c r="B39" s="7" t="s">
        <v>106</v>
      </c>
      <c r="C39" s="7">
        <f>D9/$D$6</f>
        <v>0.2857142857142857</v>
      </c>
      <c r="D39" s="7" t="e">
        <f>'Input Processing'!D7/'Input Processing'!$D$4</f>
        <v>#DIV/0!</v>
      </c>
      <c r="E39" s="25" t="s">
        <v>15</v>
      </c>
      <c r="F39" s="7" t="e">
        <f>IF((ABS(ROUNDDOWN((D39-C39)/(1/('Input Processing'!$D$4)),0)))=0,"",IF(D39&lt;&gt;C39,(IF(D39&gt;C39,"Remove","Add")&amp;" "&amp;ABS(ROUNDDOWN((D39-C39)/(1/('Input Processing'!$D$4)),0))),"")&amp;IF(D39&lt;&gt;C39," Standard",""))</f>
        <v>#DIV/0!</v>
      </c>
      <c r="I39" s="7">
        <f>C39*1.2</f>
        <v>0.3428571428571428</v>
      </c>
      <c r="J39" s="7">
        <f>C39*0.8</f>
        <v>0.22857142857142856</v>
      </c>
      <c r="K39" s="7" t="e">
        <f>IF(AND(D39&gt;J39,D39&lt;I39),2,0.1)</f>
        <v>#DIV/0!</v>
      </c>
      <c r="L39" s="7">
        <f>C39*1.4</f>
        <v>0.39999999999999997</v>
      </c>
      <c r="M39" s="7">
        <f>C39*0.6</f>
        <v>0.1714285714285714</v>
      </c>
      <c r="N39" s="7" t="e">
        <f>IF(AND(D39&gt;M39,D39&lt;L39),1,0.1)</f>
        <v>#DIV/0!</v>
      </c>
    </row>
    <row r="40" spans="2:14" x14ac:dyDescent="0.25">
      <c r="B40" s="7" t="s">
        <v>107</v>
      </c>
      <c r="C40" s="7">
        <f t="shared" ref="C40:C41" si="0">D10/$D$6</f>
        <v>0.42857142857142855</v>
      </c>
      <c r="D40" s="7" t="e">
        <f>'Input Processing'!D8/'Input Processing'!$D$4</f>
        <v>#DIV/0!</v>
      </c>
      <c r="E40" s="25" t="s">
        <v>17</v>
      </c>
      <c r="F40" s="7" t="e">
        <f>IF((ABS(ROUNDDOWN((D40-C40)/(1/('Input Processing'!$D$4)),0)))=0,"",IF(D40&lt;&gt;C40,(IF(D40&gt;C40,"Remove","Add")&amp;" "&amp;ABS(ROUNDDOWN((D40-C40)/(1/('Input Processing'!$D$4)),0))),"")&amp;IF(D40&lt;&gt;C40," Premium",""))</f>
        <v>#DIV/0!</v>
      </c>
      <c r="I40" s="7">
        <f t="shared" ref="I40:I41" si="1">C40*1.2</f>
        <v>0.51428571428571423</v>
      </c>
      <c r="J40" s="7">
        <f t="shared" ref="J40:J41" si="2">C40*0.8</f>
        <v>0.34285714285714286</v>
      </c>
      <c r="K40" s="7" t="e">
        <f>IF(AND(D40&gt;J40,D40&lt;I40),2,0.1)</f>
        <v>#DIV/0!</v>
      </c>
      <c r="L40" s="7">
        <f t="shared" ref="L40:L41" si="3">C40*1.4</f>
        <v>0.6</v>
      </c>
      <c r="M40" s="7">
        <f t="shared" ref="M40:M41" si="4">C40*0.6</f>
        <v>0.25714285714285712</v>
      </c>
      <c r="N40" s="7" t="e">
        <f t="shared" ref="N40:N41" si="5">IF(AND(D40&gt;M40,D40&lt;L40),1,0.1)</f>
        <v>#DIV/0!</v>
      </c>
    </row>
    <row r="41" spans="2:14" x14ac:dyDescent="0.25">
      <c r="B41" s="7" t="s">
        <v>108</v>
      </c>
      <c r="C41" s="7">
        <f t="shared" si="0"/>
        <v>0.2857142857142857</v>
      </c>
      <c r="D41" s="7" t="e">
        <f>'Input Processing'!D9/'Input Processing'!$D$4</f>
        <v>#DIV/0!</v>
      </c>
      <c r="E41" s="25" t="s">
        <v>19</v>
      </c>
      <c r="F41" s="7" t="e">
        <f>IF((ABS(ROUNDDOWN((D41-C41)/(1/('Input Processing'!$D$4)),0)))=0,"",IF(D41&lt;&gt;C41,(IF(D41&gt;C41,"Remove","Add")&amp;" "&amp;ABS(ROUNDDOWN((D41-C41)/(1/('Input Processing'!$D$4)),0))),"")&amp;IF(D41&lt;&gt;C41," Super Premium",""))</f>
        <v>#DIV/0!</v>
      </c>
      <c r="I41" s="7">
        <f t="shared" si="1"/>
        <v>0.3428571428571428</v>
      </c>
      <c r="J41" s="7">
        <f t="shared" si="2"/>
        <v>0.22857142857142856</v>
      </c>
      <c r="K41" s="7" t="e">
        <f>IF(AND(D41&gt;J41,D41&lt;I41),2,0.1)</f>
        <v>#DIV/0!</v>
      </c>
      <c r="L41" s="7">
        <f t="shared" si="3"/>
        <v>0.39999999999999997</v>
      </c>
      <c r="M41" s="7">
        <f t="shared" si="4"/>
        <v>0.1714285714285714</v>
      </c>
      <c r="N41" s="7" t="e">
        <f t="shared" si="5"/>
        <v>#DIV/0!</v>
      </c>
    </row>
    <row r="42" spans="2:14" x14ac:dyDescent="0.25">
      <c r="K42" s="23" t="e">
        <f>SUM(K39:K41,N39:N41)/9</f>
        <v>#DIV/0!</v>
      </c>
    </row>
    <row r="43" spans="2:14" x14ac:dyDescent="0.25">
      <c r="B43" s="6" t="s">
        <v>75</v>
      </c>
      <c r="C43" s="18" t="s">
        <v>4</v>
      </c>
      <c r="D43" s="18" t="s">
        <v>3</v>
      </c>
      <c r="E43" s="18" t="s">
        <v>109</v>
      </c>
    </row>
    <row r="44" spans="2:14" x14ac:dyDescent="0.25">
      <c r="B44" s="7" t="s">
        <v>22</v>
      </c>
      <c r="C44" s="7">
        <f>D14</f>
        <v>3</v>
      </c>
      <c r="D44" s="7">
        <f>'Input Processing'!D12</f>
        <v>0</v>
      </c>
      <c r="E44" s="7">
        <f>C44-D44</f>
        <v>3</v>
      </c>
      <c r="F44" s="25" t="s">
        <v>22</v>
      </c>
      <c r="G44" s="7" t="str">
        <f t="shared" ref="G44:G47" si="6">IF(E44&gt;=1,"Add"&amp;" "&amp;ABS(E44)&amp;" "&amp;B44,IF(E44&lt;=-1,"Remove"&amp;" "&amp;ABS(E44)&amp;" "&amp;B44,""))</f>
        <v>Add 3 Juniper</v>
      </c>
    </row>
    <row r="45" spans="2:14" x14ac:dyDescent="0.25">
      <c r="B45" s="7" t="s">
        <v>23</v>
      </c>
      <c r="C45" s="7">
        <f t="shared" ref="C45:C49" si="7">D15</f>
        <v>1</v>
      </c>
      <c r="D45" s="7">
        <f>'Input Processing'!D13</f>
        <v>0</v>
      </c>
      <c r="E45" s="7">
        <f t="shared" ref="E45:E49" si="8">C45-D45</f>
        <v>1</v>
      </c>
      <c r="F45" s="25" t="s">
        <v>23</v>
      </c>
      <c r="G45" s="7" t="str">
        <f t="shared" si="6"/>
        <v>Add 1 Citrus</v>
      </c>
    </row>
    <row r="46" spans="2:14" x14ac:dyDescent="0.25">
      <c r="B46" s="7" t="s">
        <v>24</v>
      </c>
      <c r="C46" s="7">
        <f t="shared" si="7"/>
        <v>0</v>
      </c>
      <c r="D46" s="7">
        <f>'Input Processing'!D14</f>
        <v>0</v>
      </c>
      <c r="E46" s="7">
        <f t="shared" si="8"/>
        <v>0</v>
      </c>
      <c r="F46" s="25" t="s">
        <v>24</v>
      </c>
      <c r="G46" s="7" t="str">
        <f t="shared" si="6"/>
        <v/>
      </c>
    </row>
    <row r="47" spans="2:14" x14ac:dyDescent="0.25">
      <c r="B47" s="7" t="s">
        <v>25</v>
      </c>
      <c r="C47" s="7">
        <f t="shared" si="7"/>
        <v>0</v>
      </c>
      <c r="D47" s="7">
        <f>'Input Processing'!D15</f>
        <v>0</v>
      </c>
      <c r="E47" s="7">
        <f t="shared" si="8"/>
        <v>0</v>
      </c>
      <c r="F47" s="25" t="s">
        <v>25</v>
      </c>
      <c r="G47" s="7" t="str">
        <f t="shared" si="6"/>
        <v/>
      </c>
    </row>
    <row r="48" spans="2:14" x14ac:dyDescent="0.25">
      <c r="B48" s="7" t="s">
        <v>26</v>
      </c>
      <c r="C48" s="7">
        <f t="shared" si="7"/>
        <v>1</v>
      </c>
      <c r="D48" s="7">
        <f>'Input Processing'!D16</f>
        <v>0</v>
      </c>
      <c r="E48" s="7">
        <f t="shared" si="8"/>
        <v>1</v>
      </c>
      <c r="F48" s="25" t="s">
        <v>26</v>
      </c>
      <c r="G48" s="7" t="str">
        <f>IF(E48&gt;=1,"Add"&amp;" "&amp;ABS(E48)&amp;" "&amp;B48,IF(E48&lt;=-1,"Remove"&amp;" "&amp;ABS(E48)&amp;" "&amp;B48,""))</f>
        <v>Add 1 Floral</v>
      </c>
    </row>
    <row r="49" spans="2:24" x14ac:dyDescent="0.25">
      <c r="B49" s="7" t="s">
        <v>27</v>
      </c>
      <c r="C49" s="7">
        <f t="shared" si="7"/>
        <v>2</v>
      </c>
      <c r="D49" s="7">
        <f>'Input Processing'!D17</f>
        <v>0</v>
      </c>
      <c r="E49" s="7">
        <f t="shared" si="8"/>
        <v>2</v>
      </c>
      <c r="F49" s="25" t="s">
        <v>27</v>
      </c>
      <c r="G49" s="7" t="str">
        <f>IF(E49&gt;=1,"Add"&amp;" "&amp;ABS(E49)&amp;" "&amp;B49,IF(E49&lt;=-1,"Remove"&amp;" "&amp;ABS(E49)&amp;" "&amp;B49,""))</f>
        <v>Add 2 Fruit</v>
      </c>
    </row>
    <row r="51" spans="2:24" s="9" customFormat="1" x14ac:dyDescent="0.25"/>
    <row r="53" spans="2:24" x14ac:dyDescent="0.25">
      <c r="B53" s="10" t="s">
        <v>112</v>
      </c>
    </row>
    <row r="54" spans="2:24" x14ac:dyDescent="0.25">
      <c r="B54" s="10"/>
    </row>
    <row r="55" spans="2:24" x14ac:dyDescent="0.25">
      <c r="B55" s="6" t="s">
        <v>74</v>
      </c>
      <c r="L55" s="6" t="s">
        <v>75</v>
      </c>
    </row>
    <row r="56" spans="2:24" x14ac:dyDescent="0.25">
      <c r="H56" s="16">
        <v>1</v>
      </c>
      <c r="J56" s="16">
        <v>2</v>
      </c>
      <c r="K56" s="26" t="s">
        <v>113</v>
      </c>
      <c r="L56" s="7" t="s">
        <v>22</v>
      </c>
      <c r="M56" s="7" t="str">
        <f>IF(E44&gt;0,"JU",0)</f>
        <v>JU</v>
      </c>
      <c r="N56" s="7">
        <f>IF(E44&lt;0,"JU",0)</f>
        <v>0</v>
      </c>
      <c r="Q56" s="16">
        <v>1</v>
      </c>
      <c r="S56" s="16">
        <v>2</v>
      </c>
      <c r="V56" s="16">
        <v>1</v>
      </c>
      <c r="X56" s="16">
        <v>2</v>
      </c>
    </row>
    <row r="57" spans="2:24" x14ac:dyDescent="0.25">
      <c r="B57" s="19" t="s">
        <v>106</v>
      </c>
      <c r="C57" s="30" t="e">
        <f>IF(D39-C39&lt;0,"S","0")</f>
        <v>#DIV/0!</v>
      </c>
      <c r="D57" s="30" t="e">
        <f>IF(D39-C39&gt;0,"S","0")</f>
        <v>#DIV/0!</v>
      </c>
      <c r="E57" s="31" t="s">
        <v>15</v>
      </c>
      <c r="F57" s="24"/>
      <c r="G57" s="27" t="s">
        <v>110</v>
      </c>
      <c r="H57" s="7" t="e">
        <f>VLOOKUP(C60,B57:E59,4,FALSE)</f>
        <v>#DIV/0!</v>
      </c>
      <c r="J57" s="7" t="e">
        <f>VLOOKUP(IF(C61=C60,C62,C61),B57:E59,4,FALSE)</f>
        <v>#DIV/0!</v>
      </c>
      <c r="K57" s="26" t="s">
        <v>114</v>
      </c>
      <c r="L57" s="7" t="s">
        <v>23</v>
      </c>
      <c r="M57" s="7" t="str">
        <f>IF(E45&gt;0,"CI",0)</f>
        <v>CI</v>
      </c>
      <c r="N57" s="7">
        <f>IF(E45&lt;0,"CI",0)</f>
        <v>0</v>
      </c>
      <c r="P57" s="27" t="s">
        <v>110</v>
      </c>
      <c r="Q57" s="7" t="str">
        <f>VLOOKUP(M62,K56:L61,2,FALSE)</f>
        <v>Juniper</v>
      </c>
      <c r="S57" s="7" t="str">
        <f>VLOOKUP(IF(M63=M62,M64,M62),K56:L61,2,FALSE)</f>
        <v>Juniper</v>
      </c>
      <c r="U57" s="6" t="s">
        <v>118</v>
      </c>
      <c r="V57" s="7" t="e">
        <f>Q57&amp;H57</f>
        <v>#DIV/0!</v>
      </c>
      <c r="X57" s="7" t="e">
        <f t="shared" ref="X57" si="9">S57&amp;J57</f>
        <v>#DIV/0!</v>
      </c>
    </row>
    <row r="58" spans="2:24" x14ac:dyDescent="0.25">
      <c r="B58" s="19" t="s">
        <v>107</v>
      </c>
      <c r="C58" s="30" t="e">
        <f>IF(D40-C40&lt;0,"P","0")</f>
        <v>#DIV/0!</v>
      </c>
      <c r="D58" s="30" t="e">
        <f>IF(D40-C40&gt;0,"P","0")</f>
        <v>#DIV/0!</v>
      </c>
      <c r="E58" s="31" t="s">
        <v>17</v>
      </c>
      <c r="F58" s="24"/>
      <c r="G58" s="27" t="s">
        <v>111</v>
      </c>
      <c r="H58" s="7" t="e">
        <f>VLOOKUP(D60,B57:E59,4,FALSE)</f>
        <v>#DIV/0!</v>
      </c>
      <c r="J58" s="7" t="e">
        <f>VLOOKUP(IF(D61=D60,D62,D61),B57:E59,4,FALSE)</f>
        <v>#DIV/0!</v>
      </c>
      <c r="K58" s="26" t="s">
        <v>108</v>
      </c>
      <c r="L58" s="7" t="s">
        <v>24</v>
      </c>
      <c r="M58" s="7">
        <f>IF(E46&gt;0,"SP",0)</f>
        <v>0</v>
      </c>
      <c r="N58" s="7">
        <f>IF(E46&lt;0,"SP",0)</f>
        <v>0</v>
      </c>
      <c r="P58" s="27" t="s">
        <v>111</v>
      </c>
      <c r="Q58" s="7" t="e">
        <f>VLOOKUP(N62,K56:L61,2,FALSE)</f>
        <v>#N/A</v>
      </c>
      <c r="S58" s="7" t="e">
        <f>VLOOKUP(IF(N62=N63,N64,N63),K56:L61,2,FALSE)</f>
        <v>#N/A</v>
      </c>
      <c r="U58" s="6" t="s">
        <v>119</v>
      </c>
      <c r="V58" s="7" t="e">
        <f>Q58&amp;H58</f>
        <v>#N/A</v>
      </c>
      <c r="X58" s="7" t="e">
        <f>S58&amp;J58</f>
        <v>#N/A</v>
      </c>
    </row>
    <row r="59" spans="2:24" x14ac:dyDescent="0.25">
      <c r="B59" s="19" t="s">
        <v>108</v>
      </c>
      <c r="C59" s="32" t="e">
        <f>IF(D41-C41&lt;0,"SP","0")</f>
        <v>#DIV/0!</v>
      </c>
      <c r="D59" s="32" t="e">
        <f>IF(D41-C41&gt;0,"SP","0")</f>
        <v>#DIV/0!</v>
      </c>
      <c r="E59" s="31" t="s">
        <v>19</v>
      </c>
      <c r="F59" s="24"/>
      <c r="K59" s="26" t="s">
        <v>115</v>
      </c>
      <c r="L59" s="7" t="s">
        <v>25</v>
      </c>
      <c r="M59" s="7">
        <f>IF(E47&gt;0,"HE",0)</f>
        <v>0</v>
      </c>
      <c r="N59" s="7">
        <f>IF(E47&lt;0,"HE",0)</f>
        <v>0</v>
      </c>
    </row>
    <row r="60" spans="2:24" x14ac:dyDescent="0.25">
      <c r="B60" s="28">
        <v>1</v>
      </c>
      <c r="C60" s="33" t="e">
        <f>IF(C59="0",IF(C58="0",C57,C58),C59)</f>
        <v>#DIV/0!</v>
      </c>
      <c r="D60" s="34" t="e">
        <f>IF(D59="0",IF(D58="0",D57,D58),D59)</f>
        <v>#DIV/0!</v>
      </c>
      <c r="E60" s="31"/>
      <c r="F60" s="12"/>
      <c r="G60" s="12"/>
      <c r="K60" s="26" t="s">
        <v>116</v>
      </c>
      <c r="L60" s="7" t="s">
        <v>26</v>
      </c>
      <c r="M60" s="7" t="str">
        <f>IF(E48&gt;0,"FL",0)</f>
        <v>FL</v>
      </c>
      <c r="N60" s="7">
        <f>IF(E48&lt;0,"FL",0)</f>
        <v>0</v>
      </c>
    </row>
    <row r="61" spans="2:24" x14ac:dyDescent="0.25">
      <c r="B61" s="29">
        <v>2</v>
      </c>
      <c r="C61" s="31" t="e">
        <f>IF(C58="0",IF(C57="0",C59,C57),C58)</f>
        <v>#DIV/0!</v>
      </c>
      <c r="D61" s="35" t="s">
        <v>108</v>
      </c>
      <c r="E61" s="19"/>
      <c r="G61" s="7" t="e">
        <f>IF((LEN(C60)+LEN(C61)+LEN(C62)+LEN(D60)+LEN(D61)+LEN(D62)+(LEN(M62)+LEN(M63)+LEN(M64)+LEN(N62)+LEN(N63)+LEN(N64)))=12,"0","1")</f>
        <v>#DIV/0!</v>
      </c>
      <c r="K61" s="26" t="s">
        <v>117</v>
      </c>
      <c r="L61" s="7" t="s">
        <v>27</v>
      </c>
      <c r="M61" s="7" t="str">
        <f>IF(E49&gt;0,"FR",0)</f>
        <v>FR</v>
      </c>
      <c r="N61" s="7">
        <f>IF(E49&lt;0,"FR",0)</f>
        <v>0</v>
      </c>
    </row>
    <row r="62" spans="2:24" x14ac:dyDescent="0.25">
      <c r="B62" s="38">
        <v>3</v>
      </c>
      <c r="C62" s="36" t="e">
        <f>IF(C57="0",IF(C59="0",C58,C59),C57)</f>
        <v>#DIV/0!</v>
      </c>
      <c r="D62" s="37" t="e">
        <f>IF(D57="0",IF(D59="0",D58,D59),D57)</f>
        <v>#DIV/0!</v>
      </c>
      <c r="E62" s="19"/>
      <c r="L62" s="28">
        <v>1</v>
      </c>
      <c r="M62" s="33" t="str">
        <f>IF(M56&lt;&gt;0,M56,IF(M57&lt;&gt;0,M57,IF(M58&lt;&gt;0,M58,IF(M59&lt;&gt;0,M59,IF(M60&lt;&gt;0,M60,IF(M61&lt;&gt;0,M61,0))))))</f>
        <v>JU</v>
      </c>
      <c r="N62" s="34">
        <f>IF(N56&lt;&gt;0,N56,IF(N57&lt;&gt;0,N57,IF(N58&lt;&gt;0,N58,IF(N59&lt;&gt;0,N59,IF(N60&lt;&gt;0,N60,IF(N61&lt;&gt;0,N61,0))))))</f>
        <v>0</v>
      </c>
    </row>
    <row r="63" spans="2:24" x14ac:dyDescent="0.25">
      <c r="L63" s="29">
        <v>2</v>
      </c>
      <c r="M63" s="31" t="str">
        <f>IF(M61&lt;&gt;0,M61,IF(M60&lt;&gt;0,M60,IF(M59&lt;&gt;0,M59,IF(M58&lt;&gt;0,M58,IF(M57&lt;&gt;0,M57,IF(M56&lt;&gt;0,M56,0))))))</f>
        <v>FR</v>
      </c>
      <c r="N63" s="35">
        <f>IF(N61&lt;&gt;0,N61,IF(N60&lt;&gt;0,N60,IF(N59&lt;&gt;0,N59,IF(N58&lt;&gt;0,N58,IF(N57&lt;&gt;0,N57,IF(N56&lt;&gt;0,N56,0))))))</f>
        <v>0</v>
      </c>
    </row>
    <row r="64" spans="2:24" x14ac:dyDescent="0.25">
      <c r="B64" s="6"/>
      <c r="L64" s="38">
        <v>3</v>
      </c>
      <c r="M64" s="36" t="str">
        <f>IF(M61&lt;&gt;0,M61,IF(M56&lt;&gt;0,M56,IF(M60&lt;&gt;0,M60,IF(M57&lt;&gt;0,M57,IF(M59&lt;&gt;0,M59,IF(M58&lt;&gt;0,M58,0))))))</f>
        <v>FR</v>
      </c>
      <c r="N64" s="37">
        <f>IF(N61&lt;&gt;0,N61,IF(N56&lt;&gt;0,N56,IF(N60&lt;&gt;0,N60,IF(N57&lt;&gt;0,N57,IF(N59&lt;&gt;0,N59,IF(N58&lt;&gt;0,N58,0))))))</f>
        <v>0</v>
      </c>
    </row>
    <row r="65" spans="2:19" x14ac:dyDescent="0.25">
      <c r="B65" s="6"/>
    </row>
    <row r="66" spans="2:19" x14ac:dyDescent="0.25">
      <c r="B66" s="6"/>
    </row>
    <row r="67" spans="2:19" x14ac:dyDescent="0.25">
      <c r="C67" s="7">
        <v>1</v>
      </c>
      <c r="D67" s="7">
        <v>2</v>
      </c>
      <c r="E67" s="7">
        <v>3</v>
      </c>
      <c r="F67" s="7">
        <v>4</v>
      </c>
      <c r="G67" s="7">
        <v>5</v>
      </c>
      <c r="H67" s="7">
        <v>6</v>
      </c>
      <c r="I67" s="7">
        <v>7</v>
      </c>
      <c r="J67" s="7">
        <v>8</v>
      </c>
      <c r="K67" s="7">
        <v>9</v>
      </c>
      <c r="L67" s="7">
        <v>10</v>
      </c>
      <c r="M67" s="7">
        <v>11</v>
      </c>
      <c r="N67" s="7">
        <v>12</v>
      </c>
      <c r="O67" s="7">
        <v>13</v>
      </c>
      <c r="P67" s="7">
        <v>14</v>
      </c>
      <c r="Q67" s="7">
        <v>15</v>
      </c>
      <c r="R67" s="7">
        <v>16</v>
      </c>
    </row>
    <row r="68" spans="2:19" x14ac:dyDescent="0.25">
      <c r="B68" s="6"/>
      <c r="C68" s="7" t="e">
        <f>VLOOKUP($V$57,Recommendations!E1:F18,2,FALSE)</f>
        <v>#DIV/0!</v>
      </c>
      <c r="D68" s="7" t="e">
        <f>VLOOKUP($V$57,Recommendations!G1:H18,2,FALSE)</f>
        <v>#DIV/0!</v>
      </c>
      <c r="E68" s="7" t="e">
        <f>VLOOKUP($V$57,Recommendations!I1:J18,2,FALSE)</f>
        <v>#DIV/0!</v>
      </c>
      <c r="F68" s="7" t="e">
        <f>VLOOKUP($V$57,Recommendations!K1:L18,2,FALSE)</f>
        <v>#DIV/0!</v>
      </c>
      <c r="G68" s="7" t="e">
        <f>VLOOKUP($V$57,Recommendations!M1:N18,2,FALSE)</f>
        <v>#DIV/0!</v>
      </c>
      <c r="H68" s="7" t="e">
        <f>VLOOKUP($V$57,Recommendations!O1:P18,2,FALSE)</f>
        <v>#DIV/0!</v>
      </c>
      <c r="I68" s="7" t="e">
        <f>VLOOKUP($V$57,Recommendations!Q1:R18,2,FALSE)</f>
        <v>#DIV/0!</v>
      </c>
      <c r="J68" s="7" t="e">
        <f>VLOOKUP($V$57,Recommendations!S1:T18,2,FALSE)</f>
        <v>#DIV/0!</v>
      </c>
      <c r="K68" s="7" t="e">
        <f>VLOOKUP($V$57,Recommendations!U1:V18,2,FALSE)</f>
        <v>#DIV/0!</v>
      </c>
      <c r="L68" s="7" t="e">
        <f>VLOOKUP($V$57,Recommendations!W1:X18,2,FALSE)</f>
        <v>#DIV/0!</v>
      </c>
      <c r="M68" s="7" t="e">
        <f>VLOOKUP($V$57,Recommendations!Y1:Z18,2,FALSE)</f>
        <v>#DIV/0!</v>
      </c>
      <c r="N68" s="7" t="e">
        <f>VLOOKUP($V$57,Recommendations!AA1:AB18,2,FALSE)</f>
        <v>#DIV/0!</v>
      </c>
      <c r="O68" s="7" t="e">
        <f>VLOOKUP($V$57,Recommendations!AC1:AD18,2,FALSE)</f>
        <v>#DIV/0!</v>
      </c>
      <c r="P68" s="7" t="e">
        <f>VLOOKUP($V$57,Recommendations!AE1:AF18,2,FALSE)</f>
        <v>#DIV/0!</v>
      </c>
      <c r="Q68" s="7" t="e">
        <f>VLOOKUP($V$57,Recommendations!AG1:AH18,2,FALSE)</f>
        <v>#DIV/0!</v>
      </c>
      <c r="R68" s="7" t="e">
        <f>VLOOKUP($V$57,Recommendations!AI1:AJ18,2,FALSE)</f>
        <v>#DIV/0!</v>
      </c>
    </row>
    <row r="69" spans="2:19" ht="15.75" thickBot="1" x14ac:dyDescent="0.3">
      <c r="C69" s="7">
        <f>COUNTIF('Input Processing'!$J$25:$J$54,C68)</f>
        <v>0</v>
      </c>
      <c r="D69" s="7">
        <f>COUNTIF('Input Processing'!$J$25:$J$54,D68)</f>
        <v>0</v>
      </c>
      <c r="E69" s="7">
        <f>COUNTIF('Input Processing'!$J$25:$J$54,E68)</f>
        <v>0</v>
      </c>
      <c r="F69" s="7">
        <f>COUNTIF('Input Processing'!$J$25:$J$54,F68)</f>
        <v>0</v>
      </c>
      <c r="G69" s="7">
        <f>COUNTIF('Input Processing'!$J$25:$J$54,G68)</f>
        <v>0</v>
      </c>
      <c r="H69" s="7">
        <f>COUNTIF('Input Processing'!$J$25:$J$54,H68)</f>
        <v>0</v>
      </c>
      <c r="I69" s="7">
        <f>COUNTIF('Input Processing'!$J$25:$J$54,I68)</f>
        <v>0</v>
      </c>
      <c r="J69" s="7">
        <f>COUNTIF('Input Processing'!$J$25:$J$54,J68)</f>
        <v>0</v>
      </c>
      <c r="K69" s="7">
        <f>COUNTIF('Input Processing'!$J$25:$J$54,K68)</f>
        <v>0</v>
      </c>
      <c r="L69" s="7">
        <f>COUNTIF('Input Processing'!$J$25:$J$54,L68)</f>
        <v>0</v>
      </c>
      <c r="M69" s="7">
        <f>COUNTIF('Input Processing'!$J$25:$J$54,M68)</f>
        <v>0</v>
      </c>
      <c r="N69" s="7">
        <f>COUNTIF('Input Processing'!$J$25:$J$54,N68)</f>
        <v>0</v>
      </c>
      <c r="O69" s="7">
        <f>COUNTIF('Input Processing'!$J$25:$J$54,O68)</f>
        <v>0</v>
      </c>
      <c r="P69" s="7">
        <f>COUNTIF('Input Processing'!$J$25:$J$54,P68)</f>
        <v>0</v>
      </c>
      <c r="Q69" s="7">
        <f>COUNTIF('Input Processing'!$J$25:$J$54,Q68)</f>
        <v>0</v>
      </c>
      <c r="R69" s="7">
        <f>COUNTIF('Input Processing'!$J$25:$J$54,R68)</f>
        <v>0</v>
      </c>
    </row>
    <row r="70" spans="2:19" ht="15.75" thickBot="1" x14ac:dyDescent="0.3">
      <c r="C70" s="11" t="e">
        <f>IF(C69=0,C68,D70)</f>
        <v>#DIV/0!</v>
      </c>
      <c r="D70" s="7" t="e">
        <f t="shared" ref="D70:R70" si="10">IF(D69=0,D68,E70)</f>
        <v>#DIV/0!</v>
      </c>
      <c r="E70" s="7" t="e">
        <f t="shared" si="10"/>
        <v>#DIV/0!</v>
      </c>
      <c r="F70" s="7" t="e">
        <f t="shared" si="10"/>
        <v>#DIV/0!</v>
      </c>
      <c r="G70" s="7" t="e">
        <f t="shared" si="10"/>
        <v>#DIV/0!</v>
      </c>
      <c r="H70" s="7" t="e">
        <f t="shared" si="10"/>
        <v>#DIV/0!</v>
      </c>
      <c r="I70" s="7" t="e">
        <f t="shared" si="10"/>
        <v>#DIV/0!</v>
      </c>
      <c r="J70" s="7" t="e">
        <f t="shared" si="10"/>
        <v>#DIV/0!</v>
      </c>
      <c r="K70" s="7" t="e">
        <f t="shared" si="10"/>
        <v>#DIV/0!</v>
      </c>
      <c r="L70" s="7" t="e">
        <f t="shared" si="10"/>
        <v>#DIV/0!</v>
      </c>
      <c r="M70" s="7" t="e">
        <f t="shared" si="10"/>
        <v>#DIV/0!</v>
      </c>
      <c r="N70" s="7" t="e">
        <f t="shared" si="10"/>
        <v>#DIV/0!</v>
      </c>
      <c r="O70" s="7" t="e">
        <f t="shared" si="10"/>
        <v>#DIV/0!</v>
      </c>
      <c r="P70" s="7" t="e">
        <f t="shared" si="10"/>
        <v>#DIV/0!</v>
      </c>
      <c r="Q70" s="7" t="e">
        <f t="shared" si="10"/>
        <v>#DIV/0!</v>
      </c>
      <c r="R70" s="7" t="e">
        <f t="shared" si="10"/>
        <v>#DIV/0!</v>
      </c>
    </row>
    <row r="71" spans="2:19" x14ac:dyDescent="0.25">
      <c r="C71" s="7" t="e">
        <f>VLOOKUP($X$57,Recommendations!E1:F18,2,FALSE)</f>
        <v>#DIV/0!</v>
      </c>
      <c r="D71" s="7" t="e">
        <f>VLOOKUP($X$57,Recommendations!G1:H18,2,FALSE)</f>
        <v>#DIV/0!</v>
      </c>
      <c r="E71" s="7" t="e">
        <f>VLOOKUP($X$57,Recommendations!I1:J18,2,FALSE)</f>
        <v>#DIV/0!</v>
      </c>
      <c r="F71" s="7" t="e">
        <f>VLOOKUP($X$57,Recommendations!K1:L18,2,FALSE)</f>
        <v>#DIV/0!</v>
      </c>
      <c r="G71" s="7" t="e">
        <f>VLOOKUP($X$57,Recommendations!M1:N18,2,FALSE)</f>
        <v>#DIV/0!</v>
      </c>
      <c r="H71" s="7" t="e">
        <f>VLOOKUP($X$57,Recommendations!O1:P18,2,FALSE)</f>
        <v>#DIV/0!</v>
      </c>
      <c r="I71" s="7" t="e">
        <f>VLOOKUP($X$57,Recommendations!Q1:R18,2,FALSE)</f>
        <v>#DIV/0!</v>
      </c>
      <c r="J71" s="7" t="e">
        <f>VLOOKUP($X$57,Recommendations!S1:T18,2,FALSE)</f>
        <v>#DIV/0!</v>
      </c>
      <c r="K71" s="7" t="e">
        <f>VLOOKUP($X$57,Recommendations!U1:V18,2,FALSE)</f>
        <v>#DIV/0!</v>
      </c>
      <c r="L71" s="7" t="e">
        <f>VLOOKUP($X$57,Recommendations!W1:X18,2,FALSE)</f>
        <v>#DIV/0!</v>
      </c>
      <c r="M71" s="7" t="e">
        <f>VLOOKUP($X$57,Recommendations!Y1:Z18,2,FALSE)</f>
        <v>#DIV/0!</v>
      </c>
      <c r="N71" s="7" t="e">
        <f>VLOOKUP($X$57,Recommendations!AA1:AB18,2,FALSE)</f>
        <v>#DIV/0!</v>
      </c>
      <c r="O71" s="7" t="e">
        <f>VLOOKUP($X$57,Recommendations!AC1:AD18,2,FALSE)</f>
        <v>#DIV/0!</v>
      </c>
      <c r="P71" s="7" t="e">
        <f>VLOOKUP($X$57,Recommendations!AE1:AF18,2,FALSE)</f>
        <v>#DIV/0!</v>
      </c>
      <c r="Q71" s="7" t="e">
        <f>VLOOKUP($X$57,Recommendations!AG1:AH18,2,FALSE)</f>
        <v>#DIV/0!</v>
      </c>
      <c r="R71" s="7" t="e">
        <f>VLOOKUP($X$57,Recommendations!AI1:AJ18,2,FALSE)</f>
        <v>#DIV/0!</v>
      </c>
    </row>
    <row r="72" spans="2:19" ht="15.75" thickBot="1" x14ac:dyDescent="0.3">
      <c r="C72" s="7">
        <f>COUNTIF('Input Processing'!$J$25:$J$54,C71)</f>
        <v>0</v>
      </c>
      <c r="D72" s="7">
        <f>COUNTIF('Input Processing'!$J$25:$J$54,D71)</f>
        <v>0</v>
      </c>
      <c r="E72" s="7">
        <f>COUNTIF('Input Processing'!$J$25:$J$54,E71)</f>
        <v>0</v>
      </c>
      <c r="F72" s="7">
        <f>COUNTIF('Input Processing'!$J$25:$J$54,F71)</f>
        <v>0</v>
      </c>
      <c r="G72" s="7">
        <f>COUNTIF('Input Processing'!$J$25:$J$54,G71)</f>
        <v>0</v>
      </c>
      <c r="H72" s="7">
        <f>COUNTIF('Input Processing'!$J$25:$J$54,H71)</f>
        <v>0</v>
      </c>
      <c r="I72" s="7">
        <f>COUNTIF('Input Processing'!$J$25:$J$54,I71)</f>
        <v>0</v>
      </c>
      <c r="J72" s="7">
        <f>COUNTIF('Input Processing'!$J$25:$J$54,J71)</f>
        <v>0</v>
      </c>
      <c r="K72" s="7">
        <f>COUNTIF('Input Processing'!$J$25:$J$54,K71)</f>
        <v>0</v>
      </c>
      <c r="L72" s="7">
        <f>COUNTIF('Input Processing'!$J$25:$J$54,L71)</f>
        <v>0</v>
      </c>
      <c r="M72" s="7">
        <f>COUNTIF('Input Processing'!$J$25:$J$54,M71)</f>
        <v>0</v>
      </c>
      <c r="N72" s="7">
        <f>COUNTIF('Input Processing'!$J$25:$J$54,N71)</f>
        <v>0</v>
      </c>
      <c r="O72" s="7">
        <f>COUNTIF('Input Processing'!$J$25:$J$54,O71)</f>
        <v>0</v>
      </c>
      <c r="P72" s="7">
        <f>COUNTIF('Input Processing'!$J$25:$J$54,P71)</f>
        <v>0</v>
      </c>
      <c r="Q72" s="7">
        <f>COUNTIF('Input Processing'!$J$25:$J$54,Q71)</f>
        <v>0</v>
      </c>
      <c r="R72" s="7">
        <f>COUNTIF('Input Processing'!$J$25:$J$54,R71)</f>
        <v>0</v>
      </c>
    </row>
    <row r="73" spans="2:19" ht="15.75" thickBot="1" x14ac:dyDescent="0.3">
      <c r="C73" s="11" t="e">
        <f>IF(C72=0,C71,D73)</f>
        <v>#DIV/0!</v>
      </c>
      <c r="D73" s="7" t="e">
        <f t="shared" ref="D73:R73" si="11">IF(D72=0,D71,E73)</f>
        <v>#DIV/0!</v>
      </c>
      <c r="E73" s="7" t="e">
        <f t="shared" si="11"/>
        <v>#DIV/0!</v>
      </c>
      <c r="F73" s="7" t="e">
        <f t="shared" si="11"/>
        <v>#DIV/0!</v>
      </c>
      <c r="G73" s="7" t="e">
        <f t="shared" si="11"/>
        <v>#DIV/0!</v>
      </c>
      <c r="H73" s="7" t="e">
        <f t="shared" si="11"/>
        <v>#DIV/0!</v>
      </c>
      <c r="I73" s="7" t="e">
        <f t="shared" si="11"/>
        <v>#DIV/0!</v>
      </c>
      <c r="J73" s="7" t="e">
        <f t="shared" si="11"/>
        <v>#DIV/0!</v>
      </c>
      <c r="K73" s="7" t="e">
        <f t="shared" si="11"/>
        <v>#DIV/0!</v>
      </c>
      <c r="L73" s="7" t="e">
        <f t="shared" si="11"/>
        <v>#DIV/0!</v>
      </c>
      <c r="M73" s="7" t="e">
        <f t="shared" si="11"/>
        <v>#DIV/0!</v>
      </c>
      <c r="N73" s="7" t="e">
        <f t="shared" si="11"/>
        <v>#DIV/0!</v>
      </c>
      <c r="O73" s="7" t="e">
        <f t="shared" si="11"/>
        <v>#DIV/0!</v>
      </c>
      <c r="P73" s="7" t="e">
        <f t="shared" si="11"/>
        <v>#DIV/0!</v>
      </c>
      <c r="Q73" s="7" t="e">
        <f t="shared" si="11"/>
        <v>#DIV/0!</v>
      </c>
      <c r="R73" s="7" t="e">
        <f t="shared" si="11"/>
        <v>#DIV/0!</v>
      </c>
    </row>
    <row r="74" spans="2:19" x14ac:dyDescent="0.25">
      <c r="C74" s="7">
        <f>COUNTIF($C$78,C73)</f>
        <v>1</v>
      </c>
      <c r="D74" s="7">
        <f t="shared" ref="D74:S74" si="12">COUNTIF($C$78,D73)</f>
        <v>1</v>
      </c>
      <c r="E74" s="7">
        <f t="shared" si="12"/>
        <v>1</v>
      </c>
      <c r="F74" s="7">
        <f t="shared" si="12"/>
        <v>1</v>
      </c>
      <c r="G74" s="7">
        <f t="shared" si="12"/>
        <v>1</v>
      </c>
      <c r="H74" s="7">
        <f t="shared" si="12"/>
        <v>1</v>
      </c>
      <c r="I74" s="7">
        <f t="shared" si="12"/>
        <v>1</v>
      </c>
      <c r="J74" s="7">
        <f t="shared" si="12"/>
        <v>1</v>
      </c>
      <c r="K74" s="7">
        <f t="shared" si="12"/>
        <v>1</v>
      </c>
      <c r="L74" s="7">
        <f t="shared" si="12"/>
        <v>1</v>
      </c>
      <c r="M74" s="7">
        <f t="shared" si="12"/>
        <v>1</v>
      </c>
      <c r="N74" s="7">
        <f t="shared" si="12"/>
        <v>1</v>
      </c>
      <c r="O74" s="7">
        <f t="shared" si="12"/>
        <v>1</v>
      </c>
      <c r="P74" s="7">
        <f t="shared" si="12"/>
        <v>1</v>
      </c>
      <c r="Q74" s="7">
        <f t="shared" si="12"/>
        <v>1</v>
      </c>
      <c r="R74" s="7">
        <f t="shared" si="12"/>
        <v>1</v>
      </c>
      <c r="S74" s="7">
        <f t="shared" si="12"/>
        <v>0</v>
      </c>
    </row>
    <row r="75" spans="2:19" x14ac:dyDescent="0.25">
      <c r="C75" s="7" t="e">
        <f>IF(C74=0,$C$71,D73)</f>
        <v>#DIV/0!</v>
      </c>
      <c r="D75" s="7" t="e">
        <f t="shared" ref="D75:S75" si="13">IF(D74=0,$C$71,E73)</f>
        <v>#DIV/0!</v>
      </c>
      <c r="E75" s="7" t="e">
        <f t="shared" si="13"/>
        <v>#DIV/0!</v>
      </c>
      <c r="F75" s="7" t="e">
        <f t="shared" si="13"/>
        <v>#DIV/0!</v>
      </c>
      <c r="G75" s="7" t="e">
        <f t="shared" si="13"/>
        <v>#DIV/0!</v>
      </c>
      <c r="H75" s="7" t="e">
        <f t="shared" si="13"/>
        <v>#DIV/0!</v>
      </c>
      <c r="I75" s="7" t="e">
        <f t="shared" si="13"/>
        <v>#DIV/0!</v>
      </c>
      <c r="J75" s="7" t="e">
        <f t="shared" si="13"/>
        <v>#DIV/0!</v>
      </c>
      <c r="K75" s="7" t="e">
        <f t="shared" si="13"/>
        <v>#DIV/0!</v>
      </c>
      <c r="L75" s="7" t="e">
        <f t="shared" si="13"/>
        <v>#DIV/0!</v>
      </c>
      <c r="M75" s="7" t="e">
        <f t="shared" si="13"/>
        <v>#DIV/0!</v>
      </c>
      <c r="N75" s="7" t="e">
        <f t="shared" si="13"/>
        <v>#DIV/0!</v>
      </c>
      <c r="O75" s="7" t="e">
        <f t="shared" si="13"/>
        <v>#DIV/0!</v>
      </c>
      <c r="P75" s="7" t="e">
        <f t="shared" si="13"/>
        <v>#DIV/0!</v>
      </c>
      <c r="Q75" s="7" t="e">
        <f t="shared" si="13"/>
        <v>#DIV/0!</v>
      </c>
      <c r="R75" s="7">
        <f t="shared" si="13"/>
        <v>0</v>
      </c>
      <c r="S75" s="7" t="e">
        <f t="shared" si="13"/>
        <v>#DIV/0!</v>
      </c>
    </row>
    <row r="76" spans="2:19" x14ac:dyDescent="0.25">
      <c r="B76" s="6" t="s">
        <v>126</v>
      </c>
    </row>
    <row r="77" spans="2:19" x14ac:dyDescent="0.25">
      <c r="B77" s="7" t="s">
        <v>118</v>
      </c>
    </row>
    <row r="78" spans="2:19" x14ac:dyDescent="0.25">
      <c r="B78" s="7">
        <v>1</v>
      </c>
      <c r="C78" s="7" t="e">
        <f>C70</f>
        <v>#DIV/0!</v>
      </c>
      <c r="F78" s="7" t="s">
        <v>63</v>
      </c>
      <c r="G78" s="39">
        <f>IF('Input Processing'!D4&gt;D6,1-(('Input Processing'!D4-D6)/D6),'Input Processing'!D4/D6)</f>
        <v>0</v>
      </c>
    </row>
    <row r="79" spans="2:19" x14ac:dyDescent="0.25">
      <c r="B79" s="7">
        <v>2</v>
      </c>
      <c r="C79" s="7" t="e">
        <f>IF(C74&lt;&gt;0,C75,C73)</f>
        <v>#DIV/0!</v>
      </c>
      <c r="F79" s="7" t="s">
        <v>74</v>
      </c>
      <c r="G79" s="39" t="e">
        <f>K42</f>
        <v>#DIV/0!</v>
      </c>
    </row>
    <row r="80" spans="2:19" x14ac:dyDescent="0.25">
      <c r="F80" s="7" t="s">
        <v>32</v>
      </c>
      <c r="G80" s="39">
        <f>R27</f>
        <v>0</v>
      </c>
    </row>
    <row r="81" spans="2:26" x14ac:dyDescent="0.25">
      <c r="B81" s="7" t="s">
        <v>119</v>
      </c>
      <c r="F81" s="7" t="s">
        <v>29</v>
      </c>
      <c r="G81" s="39" t="e">
        <f>((G78*(1/3))+(G79*(1/3))+(G80*(1/3)))</f>
        <v>#DIV/0!</v>
      </c>
    </row>
    <row r="82" spans="2:26" x14ac:dyDescent="0.25">
      <c r="B82" s="7">
        <v>1</v>
      </c>
      <c r="C82" s="7" t="e">
        <f>VLOOKUP(V58,'Input Processing'!I25:J54,2,FALSE)</f>
        <v>#N/A</v>
      </c>
    </row>
    <row r="83" spans="2:26" x14ac:dyDescent="0.25">
      <c r="B83" s="7">
        <v>2</v>
      </c>
      <c r="C83" s="7" t="e">
        <f>VLOOKUP(X58,'Input Processing'!I25:J54,2,FALSE)</f>
        <v>#N/A</v>
      </c>
    </row>
    <row r="84" spans="2:26" s="9" customFormat="1" x14ac:dyDescent="0.25"/>
    <row r="86" spans="2:26" x14ac:dyDescent="0.25">
      <c r="B86" s="6" t="s">
        <v>130</v>
      </c>
      <c r="K86" s="7" t="str">
        <f>VLOOKUP($H$110,Recommendations!E1:F18,2,FALSE)</f>
        <v>🍋 (£££)｜Plymouth Gin</v>
      </c>
      <c r="L86" s="7" t="str">
        <f>VLOOKUP($H$110,Recommendations!G1:H18,2,FALSE)</f>
        <v xml:space="preserve">🍋 (£££)｜Edinburgh Gin </v>
      </c>
      <c r="M86" s="7" t="str">
        <f>VLOOKUP($H$110,Recommendations!I1:J18,2,FALSE)</f>
        <v>🍋 (£££)｜Cotswolds  Gin</v>
      </c>
      <c r="N86" s="7" t="str">
        <f>VLOOKUP($H$110,Recommendations!K1:L18,2,FALSE)</f>
        <v>🍋 (£££)｜Chase GB Gin</v>
      </c>
      <c r="O86" s="7" t="str">
        <f>VLOOKUP($H$110,Recommendations!M1:N18,2,FALSE)</f>
        <v>🍋 (£££)｜Liverpool Gin</v>
      </c>
      <c r="P86" s="7" t="str">
        <f>VLOOKUP($H$110,Recommendations!O1:P18,2,FALSE)</f>
        <v>🍋 (£££)｜No.3 Gin</v>
      </c>
      <c r="Q86" s="7" t="e">
        <f>VLOOKUP($H$110,Recommendations!Q1:R18,2,FALSE)</f>
        <v>#N/A</v>
      </c>
      <c r="R86" s="7" t="str">
        <f>VLOOKUP($H$110,Recommendations!S1:T18,2,FALSE)</f>
        <v xml:space="preserve">🍋 (£££)｜6 Oclock Gin </v>
      </c>
      <c r="S86" s="7" t="str">
        <f>VLOOKUP($H$110,Recommendations!U1:V18,2,FALSE)</f>
        <v>🍋 (£££)｜City of London Gin</v>
      </c>
      <c r="T86" s="7" t="str">
        <f>VLOOKUP($H$110,Recommendations!W1:X18,2,FALSE)</f>
        <v>🍋 (£££)｜Thomas Dakin Gin</v>
      </c>
      <c r="U86" s="7" t="e">
        <f>VLOOKUP($H$110,Recommendations!Y1:Z18,2,FALSE)</f>
        <v>#N/A</v>
      </c>
      <c r="V86" s="7" t="e">
        <f>VLOOKUP($H$110,Recommendations!AA1:AB18,2,FALSE)</f>
        <v>#N/A</v>
      </c>
      <c r="W86" s="7" t="e">
        <f>VLOOKUP($H$110,Recommendations!AC1:AD18,2,FALSE)</f>
        <v>#N/A</v>
      </c>
      <c r="X86" s="7" t="e">
        <f>VLOOKUP($H$110,Recommendations!AE1:AF18,2,FALSE)</f>
        <v>#N/A</v>
      </c>
      <c r="Y86" s="7" t="e">
        <f>VLOOKUP($H$110,Recommendations!AG1:AH18,2,FALSE)</f>
        <v>#N/A</v>
      </c>
      <c r="Z86" s="7" t="e">
        <f>VLOOKUP($H$110,Recommendations!AI1:AJ18,2,FALSE)</f>
        <v>#N/A</v>
      </c>
    </row>
    <row r="87" spans="2:26" ht="15.75" thickBot="1" x14ac:dyDescent="0.3">
      <c r="E87" s="40" t="s">
        <v>3</v>
      </c>
      <c r="F87" s="40" t="s">
        <v>4</v>
      </c>
      <c r="G87" s="40" t="s">
        <v>64</v>
      </c>
      <c r="H87" s="7" t="s">
        <v>131</v>
      </c>
      <c r="K87" s="7">
        <f>COUNTIF('Input Processing'!$J$25:$J$54,K86)</f>
        <v>0</v>
      </c>
      <c r="L87" s="7">
        <f>COUNTIF('Input Processing'!$J$25:$J$54,L86)</f>
        <v>0</v>
      </c>
      <c r="M87" s="7">
        <f>COUNTIF('Input Processing'!$J$25:$J$54,M86)</f>
        <v>0</v>
      </c>
      <c r="N87" s="7">
        <f>COUNTIF('Input Processing'!$J$25:$J$54,N86)</f>
        <v>0</v>
      </c>
      <c r="O87" s="7">
        <f>COUNTIF('Input Processing'!$J$25:$J$54,O86)</f>
        <v>0</v>
      </c>
      <c r="P87" s="7">
        <f>COUNTIF('Input Processing'!$J$25:$J$54,P86)</f>
        <v>0</v>
      </c>
      <c r="Q87" s="7">
        <f>COUNTIF('Input Processing'!$J$25:$J$54,Q86)</f>
        <v>0</v>
      </c>
      <c r="R87" s="7">
        <f>COUNTIF('Input Processing'!$J$25:$J$54,R86)</f>
        <v>0</v>
      </c>
      <c r="S87" s="7">
        <f>COUNTIF('Input Processing'!$J$25:$J$54,S86)</f>
        <v>0</v>
      </c>
      <c r="T87" s="7">
        <f>COUNTIF('Input Processing'!$J$25:$J$54,T86)</f>
        <v>0</v>
      </c>
      <c r="U87" s="7">
        <f>COUNTIF('Input Processing'!$J$25:$J$54,U86)</f>
        <v>0</v>
      </c>
      <c r="V87" s="7">
        <f>COUNTIF('Input Processing'!$J$25:$J$54,V86)</f>
        <v>0</v>
      </c>
      <c r="W87" s="7">
        <f>COUNTIF('Input Processing'!$J$25:$J$54,W86)</f>
        <v>0</v>
      </c>
      <c r="X87" s="7">
        <f>COUNTIF('Input Processing'!$J$25:$J$54,X86)</f>
        <v>0</v>
      </c>
      <c r="Y87" s="7">
        <f>COUNTIF('Input Processing'!$J$25:$J$54,Y86)</f>
        <v>0</v>
      </c>
      <c r="Z87" s="7">
        <f>COUNTIF('Input Processing'!$J$25:$J$54,Z86)</f>
        <v>0</v>
      </c>
    </row>
    <row r="88" spans="2:26" ht="15.75" thickBot="1" x14ac:dyDescent="0.3">
      <c r="B88" s="7" t="s">
        <v>35</v>
      </c>
      <c r="E88" s="7">
        <f>VLOOKUP(B88,'Input Processing'!$G$3:$J$20,4,FALSE)</f>
        <v>0</v>
      </c>
      <c r="F88" s="7">
        <f>J21</f>
        <v>1</v>
      </c>
      <c r="G88" s="7">
        <f>F88-E88</f>
        <v>1</v>
      </c>
      <c r="H88" s="7" t="str">
        <f>IF(G88&gt;0,B88,"")</f>
        <v>FloralSuper Premium</v>
      </c>
      <c r="I88" s="7" t="str">
        <f>IF(G88&lt;0,B88,"")</f>
        <v/>
      </c>
      <c r="K88" s="11" t="str">
        <f>IF(K87=0,K86,IF(L87=0,L86,IF(M87=0,M86,IF(N87=0,N86,IF(O87=0,O86,IF(P87=0,P86,IF(Q87=0,Q86,IF(R87=0,R86,IF(S87=0,S86,IF(T87=0,T86,IF(U87=0,U86,IF(V87=0,V86,IF(W87=0,W86,IF(X87=0,X86,IF(Y87=0,Y86,IF(Z87=0,Z86,"None"))))))))))))))))</f>
        <v>🍋 (£££)｜Plymouth Gin</v>
      </c>
      <c r="L88" s="11" t="str">
        <f>IF(L87=0,L86,IF(M87=0,M86,IF(N87=0,N86,IF(O87=0,O86,IF(P87=0,P86,IF(Q87=0,Q86,IF(R87=0,R86,IF(S87=0,S86,IF(T87=0,T86,IF(U87=0,U86,IF(V87=0,V86,IF(W87=0,W86,IF(X87=0,X86,IF(Y87=0,Y86,IF(Z87=0,Z86,"None")))))))))))))))</f>
        <v xml:space="preserve">🍋 (£££)｜Edinburgh Gin </v>
      </c>
      <c r="M88" s="11" t="str">
        <f>IF(M87=0,M86,IF(N87=0,N86,IF(O87=0,O86,IF(P87=0,P86,IF(Q87=0,Q86,IF(R87=0,R86,IF(S87=0,S86,IF(T87=0,T86,IF(U87=0,U86,IF(V87=0,V86,IF(W87=0,W86,IF(X87=0,X86,IF(Y87=0,Y86,IF(Z87=0,Z86,"None"))))))))))))))</f>
        <v>🍋 (£££)｜Cotswolds  Gin</v>
      </c>
      <c r="N88" s="11" t="str">
        <f>IF(N87=0,N86,IF(O87=0,O86,IF(P87=0,P86,IF(Q87=0,Q86,IF(R87=0,R86,IF(S87=0,S86,IF(T87=0,T86,IF(U87=0,U86,IF(V87=0,V86,IF(W87=0,W86,IF(X87=0,X86,IF(Y87=0,Y86,IF(Z87=0,Z86,"None")))))))))))))</f>
        <v>🍋 (£££)｜Chase GB Gin</v>
      </c>
      <c r="O88" s="11" t="str">
        <f>IF(O87=0,O86,IF(P87=0,P86,IF(Q87=0,Q86,IF(R87=0,R86,IF(S87=0,S86,IF(T87=0,T86,IF(U87=0,U86,IF(V87=0,V86,IF(W87=0,W86,IF(X87=0,X86,IF(Y87=0,Y86,IF(Z87=0,Z86,"None"))))))))))))</f>
        <v>🍋 (£££)｜Liverpool Gin</v>
      </c>
      <c r="P88" s="11" t="str">
        <f>IF(P87=0,P86,IF(Q87=0,Q86,IF(R87=0,R86,IF(S87=0,S86,IF(T87=0,T86,IF(U87=0,U86,IF(V87=0,V86,IF(W87=0,W86,IF(X87=0,X86,IF(Y87=0,Y86,IF(Z87=0,Z86,"None")))))))))))</f>
        <v>🍋 (£££)｜No.3 Gin</v>
      </c>
      <c r="Q88" s="11" t="e">
        <f>IF(Q87=0,Q86,IF(R87=0,R86,IF(S87=0,S86,IF(T87=0,T86,IF(U87=0,U86,IF(V87=0,V86,IF(W87=0,W86,IF(X87=0,X86,IF(Y87=0,Y86,IF(Z87=0,Z86,"None"))))))))))</f>
        <v>#N/A</v>
      </c>
      <c r="R88" s="11" t="str">
        <f>IF(R87=0,R86,IF(S87=0,S86,IF(T87=0,T86,IF(U87=0,U86,IF(V87=0,V86,IF(W87=0,W86,IF(X87=0,X86,IF(Y87=0,Y86,IF(Z87=0,Z86,"None")))))))))</f>
        <v xml:space="preserve">🍋 (£££)｜6 Oclock Gin </v>
      </c>
      <c r="S88" s="11" t="str">
        <f>IF(S87=0,S86,IF(T87=0,T86,IF(U87=0,U86,IF(V87=0,V86,IF(W87=0,W86,IF(X87=0,X86,IF(Y87=0,Y86,IF(Z87=0,Z86,"None"))))))))</f>
        <v>🍋 (£££)｜City of London Gin</v>
      </c>
      <c r="T88" s="11" t="str">
        <f>IF(T87=0,T86,IF(U87=0,U86,IF(V87=0,V86,IF(W87=0,W86,IF(X87=0,X86,IF(Y87=0,Y86,IF(Z87=0,Z86,"None")))))))</f>
        <v>🍋 (£££)｜Thomas Dakin Gin</v>
      </c>
      <c r="U88" s="11" t="e">
        <f>IF(U87=0,U86,IF(V87=0,V86,IF(W87=0,W86,IF(X87=0,X86,IF(Y87=0,Y86,IF(Z87=0,Z86,"None"))))))</f>
        <v>#N/A</v>
      </c>
      <c r="V88" s="11" t="e">
        <f>IF(V87=0,V86,IF(W87=0,W86,IF(X87=0,X86,IF(Y87=0,Y86,IF(Z87=0,Z86,"None")))))</f>
        <v>#N/A</v>
      </c>
      <c r="W88" s="11" t="e">
        <f>IF(W87=0,W86,IF(X87=0,X86,IF(Y87=0,Y86,IF(Z87=0,Z86,"None"))))</f>
        <v>#N/A</v>
      </c>
      <c r="X88" s="11" t="e">
        <f>IF(X87=0,X86,IF(Y87=0,Y86,IF(Z87=0,Z86,"None")))</f>
        <v>#N/A</v>
      </c>
      <c r="Y88" s="11" t="e">
        <f>IF(Y87=0,Y86,IF(Z87=0,Z86,"None"))</f>
        <v>#N/A</v>
      </c>
      <c r="Z88" s="11" t="e">
        <f>IF(Z87=0,Z86,"None")</f>
        <v>#N/A</v>
      </c>
    </row>
    <row r="89" spans="2:26" x14ac:dyDescent="0.25">
      <c r="B89" s="7" t="s">
        <v>36</v>
      </c>
      <c r="E89" s="7">
        <f>VLOOKUP(B89,'Input Processing'!$G$3:$J$20,4,FALSE)</f>
        <v>0</v>
      </c>
      <c r="F89" s="7">
        <f>J17</f>
        <v>1</v>
      </c>
      <c r="G89" s="7">
        <f t="shared" ref="G89:G105" si="14">F89-E89</f>
        <v>1</v>
      </c>
      <c r="H89" s="7" t="str">
        <f t="shared" ref="H89:H105" si="15">IF(G89&gt;0,B89,"")</f>
        <v>JuniperSuper Premium</v>
      </c>
      <c r="I89" s="7" t="str">
        <f t="shared" ref="I89:I105" si="16">IF(G89&lt;0,B89,"")</f>
        <v/>
      </c>
      <c r="K89" s="7" t="str">
        <f>IF(J88=K88,"",K88)</f>
        <v>🍋 (£££)｜Plymouth Gin</v>
      </c>
      <c r="L89" s="7" t="str">
        <f>IF(K88=L88,"",L88)</f>
        <v xml:space="preserve">🍋 (£££)｜Edinburgh Gin </v>
      </c>
      <c r="M89" s="7" t="str">
        <f t="shared" ref="M89:Z89" si="17">IF(L88=M88,"",M88)</f>
        <v>🍋 (£££)｜Cotswolds  Gin</v>
      </c>
      <c r="N89" s="7" t="str">
        <f t="shared" si="17"/>
        <v>🍋 (£££)｜Chase GB Gin</v>
      </c>
      <c r="O89" s="7" t="str">
        <f t="shared" si="17"/>
        <v>🍋 (£££)｜Liverpool Gin</v>
      </c>
      <c r="P89" s="7" t="str">
        <f t="shared" si="17"/>
        <v>🍋 (£££)｜No.3 Gin</v>
      </c>
      <c r="Q89" s="7" t="e">
        <f t="shared" si="17"/>
        <v>#N/A</v>
      </c>
      <c r="R89" s="7" t="e">
        <f t="shared" si="17"/>
        <v>#N/A</v>
      </c>
      <c r="S89" s="7" t="str">
        <f t="shared" si="17"/>
        <v>🍋 (£££)｜City of London Gin</v>
      </c>
      <c r="T89" s="7" t="str">
        <f t="shared" si="17"/>
        <v>🍋 (£££)｜Thomas Dakin Gin</v>
      </c>
      <c r="U89" s="7" t="e">
        <f t="shared" si="17"/>
        <v>#N/A</v>
      </c>
      <c r="V89" s="7" t="e">
        <f t="shared" si="17"/>
        <v>#N/A</v>
      </c>
      <c r="W89" s="7" t="e">
        <f t="shared" si="17"/>
        <v>#N/A</v>
      </c>
      <c r="X89" s="7" t="e">
        <f t="shared" si="17"/>
        <v>#N/A</v>
      </c>
      <c r="Y89" s="7" t="e">
        <f t="shared" si="17"/>
        <v>#N/A</v>
      </c>
      <c r="Z89" s="7" t="e">
        <f t="shared" si="17"/>
        <v>#N/A</v>
      </c>
    </row>
    <row r="90" spans="2:26" x14ac:dyDescent="0.25">
      <c r="B90" s="7" t="s">
        <v>37</v>
      </c>
      <c r="E90" s="7">
        <f>VLOOKUP(B90,'Input Processing'!$G$3:$J$20,4,FALSE)</f>
        <v>0</v>
      </c>
      <c r="F90" s="7">
        <f>J16</f>
        <v>1</v>
      </c>
      <c r="G90" s="7">
        <f t="shared" si="14"/>
        <v>1</v>
      </c>
      <c r="H90" s="7" t="str">
        <f t="shared" si="15"/>
        <v>FruitPremium</v>
      </c>
      <c r="I90" s="7" t="str">
        <f t="shared" si="16"/>
        <v/>
      </c>
      <c r="K90" s="7" t="str">
        <f>IF(K87=0,K86,IF(L87=0,L86,IF(M87=0,M86,IF(N87=0,N86,IF(O87=0,O86,IF(P87=0,P86,IF(Q87=0,Q86,IF(R87=0,R86,IF(S87=0,S86,IF(T87=0,T86,IF(U87=0,U86,IF(V87=0,V86,IF(W87=0,W86,IF(X87=0,X86,IF(Y87=0,Y86,IF(Z87=0,Z86,"None"))))))))))))))))</f>
        <v>🍋 (£££)｜Plymouth Gin</v>
      </c>
      <c r="L90" s="7" t="str">
        <f>IF(L89="",M89,IF(L87=0,L86,IF(M87=0,M86,IF(N87=0,N86,IF(O87=0,O86,IF(P87=0,P86,IF(Q87=0,Q86,IF(R87=0,R86,IF(S87=0,S86,IF(T87=0,T86,IF(U87=0,U86,IF(V87=0,V86,IF(W87=0,W86,IF(X87=0,X86,IF(Y87=0,Y86,IF(Z87=0,Z86,"None"))))))))))))))))</f>
        <v xml:space="preserve">🍋 (£££)｜Edinburgh Gin </v>
      </c>
    </row>
    <row r="91" spans="2:26" x14ac:dyDescent="0.25">
      <c r="B91" s="7" t="s">
        <v>38</v>
      </c>
      <c r="E91" s="7">
        <f>VLOOKUP(B91,'Input Processing'!$G$3:$J$20,4,FALSE)</f>
        <v>0</v>
      </c>
      <c r="F91" s="7">
        <f>J5</f>
        <v>1</v>
      </c>
      <c r="G91" s="7">
        <f t="shared" si="14"/>
        <v>1</v>
      </c>
      <c r="H91" s="7" t="str">
        <f t="shared" si="15"/>
        <v>JuniperStandard</v>
      </c>
      <c r="I91" s="7" t="str">
        <f t="shared" si="16"/>
        <v/>
      </c>
      <c r="K91" s="7" t="str">
        <f>VLOOKUP($H$106,Recommendations!E1:F18,2,FALSE)</f>
        <v>✿  (£££)｜Hendrick's Gin</v>
      </c>
      <c r="L91" s="7" t="str">
        <f>VLOOKUP($H$106,Recommendations!G1:H18,2,FALSE)</f>
        <v>✿ (£££)｜The Botanist</v>
      </c>
      <c r="M91" s="7" t="str">
        <f>VLOOKUP($H$106,Recommendations!I1:J18,2,FALSE)</f>
        <v>✿ (£££)｜BLOOM Original Gin</v>
      </c>
      <c r="N91" s="7" t="str">
        <f>VLOOKUP($H$106,Recommendations!K1:L18,2,FALSE)</f>
        <v>✿ (£££)｜Caorunn Gin</v>
      </c>
      <c r="O91" s="7" t="str">
        <f>VLOOKUP($H$106,Recommendations!M1:N18,2,FALSE)</f>
        <v xml:space="preserve">✿  (£££)｜Aviation Gin </v>
      </c>
      <c r="P91" s="7" t="str">
        <f>VLOOKUP($H$106,Recommendations!O1:P18,2,FALSE)</f>
        <v>✿ (£££)｜Hendrick's Midsummer Solstice</v>
      </c>
      <c r="Q91" s="7" t="e">
        <f>VLOOKUP($H$106,Recommendations!Q1:R18,2,FALSE)</f>
        <v>#N/A</v>
      </c>
      <c r="R91" s="7" t="str">
        <f>VLOOKUP($H$106,Recommendations!S1:T18,2,FALSE)</f>
        <v>✿ (£££)｜Tarquin's Gin</v>
      </c>
      <c r="S91" s="7" t="str">
        <f>VLOOKUP($H$106,Recommendations!U1:V18,2,FALSE)</f>
        <v xml:space="preserve">✿ (£££)｜Edinburgh Seaside Gin </v>
      </c>
      <c r="T91" s="7" t="e">
        <f>VLOOKUP($H$106,Recommendations!W1:X18,2,FALSE)</f>
        <v>#N/A</v>
      </c>
      <c r="U91" s="7" t="e">
        <f>VLOOKUP($H$106,Recommendations!Y1:Z18,2,FALSE)</f>
        <v>#N/A</v>
      </c>
      <c r="V91" s="7" t="e">
        <f>VLOOKUP($H$106,Recommendations!AA1:AB18,2,FALSE)</f>
        <v>#N/A</v>
      </c>
      <c r="W91" s="7" t="e">
        <f>VLOOKUP($H$106,Recommendations!AC1:AD18,2,FALSE)</f>
        <v>#N/A</v>
      </c>
      <c r="X91" s="7" t="e">
        <f>VLOOKUP($H$106,Recommendations!AE1:AF18,2,FALSE)</f>
        <v>#N/A</v>
      </c>
      <c r="Y91" s="7" t="e">
        <f>VLOOKUP($H$106,Recommendations!AG1:AH18,2,FALSE)</f>
        <v>#N/A</v>
      </c>
      <c r="Z91" s="7" t="e">
        <f>VLOOKUP($H$106,Recommendations!AI1:AJ18,2,FALSE)</f>
        <v>#N/A</v>
      </c>
    </row>
    <row r="92" spans="2:26" ht="15.75" thickBot="1" x14ac:dyDescent="0.3">
      <c r="B92" s="7" t="s">
        <v>39</v>
      </c>
      <c r="E92" s="7">
        <f>VLOOKUP(B92,'Input Processing'!$G$3:$J$20,4,FALSE)</f>
        <v>0</v>
      </c>
      <c r="F92" s="7">
        <f>J15</f>
        <v>0</v>
      </c>
      <c r="G92" s="7">
        <f t="shared" si="14"/>
        <v>0</v>
      </c>
      <c r="H92" s="7" t="str">
        <f t="shared" si="15"/>
        <v/>
      </c>
      <c r="I92" s="7" t="str">
        <f t="shared" si="16"/>
        <v/>
      </c>
      <c r="K92" s="7">
        <f>COUNTIF('Input Processing'!$N$25:$N$54,K91)</f>
        <v>0</v>
      </c>
      <c r="L92" s="7">
        <f>COUNTIF('Input Processing'!$N$25:$N$54,L91)</f>
        <v>0</v>
      </c>
      <c r="M92" s="7">
        <f>COUNTIF('Input Processing'!$N$25:$N$54,M91)</f>
        <v>0</v>
      </c>
      <c r="N92" s="7">
        <f>COUNTIF('Input Processing'!$N$25:$N$54,N91)</f>
        <v>0</v>
      </c>
      <c r="O92" s="7">
        <f>COUNTIF('Input Processing'!$N$25:$N$54,O91)</f>
        <v>0</v>
      </c>
      <c r="P92" s="7">
        <f>COUNTIF('Input Processing'!$N$25:$N$54,P91)</f>
        <v>0</v>
      </c>
      <c r="Q92" s="7">
        <f>COUNTIF('Input Processing'!$N$25:$N$54,Q91)</f>
        <v>0</v>
      </c>
      <c r="R92" s="7">
        <f>COUNTIF('Input Processing'!$N$25:$N$54,R91)</f>
        <v>0</v>
      </c>
      <c r="S92" s="7">
        <f>COUNTIF('Input Processing'!$N$25:$N$54,S91)</f>
        <v>0</v>
      </c>
      <c r="T92" s="7">
        <f>COUNTIF('Input Processing'!$N$25:$N$54,T91)</f>
        <v>0</v>
      </c>
      <c r="U92" s="7">
        <f>COUNTIF('Input Processing'!$N$25:$N$54,U91)</f>
        <v>0</v>
      </c>
      <c r="V92" s="7">
        <f>COUNTIF('Input Processing'!$N$25:$N$54,V91)</f>
        <v>0</v>
      </c>
      <c r="W92" s="7">
        <f>COUNTIF('Input Processing'!$N$25:$N$54,W91)</f>
        <v>0</v>
      </c>
      <c r="X92" s="7">
        <f>COUNTIF('Input Processing'!$N$25:$N$54,X91)</f>
        <v>0</v>
      </c>
      <c r="Y92" s="7">
        <f>COUNTIF('Input Processing'!$N$25:$N$54,Y91)</f>
        <v>0</v>
      </c>
      <c r="Z92" s="7">
        <f>COUNTIF('Input Processing'!$N$25:$N$54,Z91)</f>
        <v>0</v>
      </c>
    </row>
    <row r="93" spans="2:26" ht="15.75" thickBot="1" x14ac:dyDescent="0.3">
      <c r="B93" s="7" t="s">
        <v>40</v>
      </c>
      <c r="E93" s="7">
        <f>VLOOKUP(B93,'Input Processing'!$G$3:$J$20,4,FALSE)</f>
        <v>0</v>
      </c>
      <c r="F93" s="7">
        <f>J11</f>
        <v>1</v>
      </c>
      <c r="G93" s="7">
        <f t="shared" si="14"/>
        <v>1</v>
      </c>
      <c r="H93" s="7" t="str">
        <f t="shared" si="15"/>
        <v>JuniperPremium</v>
      </c>
      <c r="I93" s="7" t="str">
        <f t="shared" si="16"/>
        <v/>
      </c>
      <c r="K93" s="11" t="str">
        <f>IF(K92=0,K91,IF(L92=0,L91,IF(M92=0,M91,IF(N92=0,N91,IF(O92=0,O91,IF(P92=0,P91,IF(Q92=0,Q91,IF(R92=0,R91,IF(S92=0,S91,IF(T92=0,T91,IF(U92=0,U91,IF(V92=0,V91,IF(W92=0,W91,IF(X92=0,X91,IF(Y92=0,Y91,IF(Z92=0,Z91,"None"))))))))))))))))</f>
        <v>✿  (£££)｜Hendrick's Gin</v>
      </c>
      <c r="L93" s="11" t="str">
        <f>IF(L92=0,L91,IF(M92=0,M91,IF(N92=0,N91,IF(O92=0,O91,IF(P92=0,P91,IF(Q92=0,Q91,IF(R92=0,R91,IF(S92=0,S91,IF(T92=0,T91,IF(U92=0,U91,IF(V92=0,V91,IF(W92=0,W91,IF(X92=0,X91,IF(Y92=0,Y91,IF(Z92=0,Z91,"None")))))))))))))))</f>
        <v>✿ (£££)｜The Botanist</v>
      </c>
      <c r="M93" s="11" t="str">
        <f>IF(M92=0,M91,IF(N92=0,N91,IF(O92=0,O91,IF(P92=0,P91,IF(Q92=0,Q91,IF(R92=0,R91,IF(S92=0,S91,IF(T92=0,T91,IF(U92=0,U91,IF(V92=0,V91,IF(W92=0,W91,IF(X92=0,X91,IF(Y92=0,Y91,IF(Z92=0,Z91,"None"))))))))))))))</f>
        <v>✿ (£££)｜BLOOM Original Gin</v>
      </c>
      <c r="N93" s="11" t="str">
        <f>IF(N92=0,N91,IF(O92=0,O91,IF(P92=0,P91,IF(Q92=0,Q91,IF(R92=0,R91,IF(S92=0,S91,IF(T92=0,T91,IF(U92=0,U91,IF(V92=0,V91,IF(W92=0,W91,IF(X92=0,X91,IF(Y92=0,Y91,IF(Z92=0,Z91,"None")))))))))))))</f>
        <v>✿ (£££)｜Caorunn Gin</v>
      </c>
      <c r="O93" s="11" t="str">
        <f>IF(O92=0,O91,IF(P92=0,P91,IF(Q92=0,Q91,IF(R92=0,R91,IF(S92=0,S91,IF(T92=0,T91,IF(U92=0,U91,IF(V92=0,V91,IF(W92=0,W91,IF(X92=0,X91,IF(Y92=0,Y91,IF(Z92=0,Z91,"None"))))))))))))</f>
        <v xml:space="preserve">✿  (£££)｜Aviation Gin </v>
      </c>
      <c r="P93" s="11" t="str">
        <f>IF(P92=0,P91,IF(Q92=0,Q91,IF(R92=0,R91,IF(S92=0,S91,IF(T92=0,T91,IF(U92=0,U91,IF(V92=0,V91,IF(W92=0,W91,IF(X92=0,X91,IF(Y92=0,Y91,IF(Z92=0,Z91,"None")))))))))))</f>
        <v>✿ (£££)｜Hendrick's Midsummer Solstice</v>
      </c>
      <c r="Q93" s="11" t="e">
        <f>IF(Q92=0,Q91,IF(R92=0,R91,IF(S92=0,S91,IF(T92=0,T91,IF(U92=0,U91,IF(V92=0,V91,IF(W92=0,W91,IF(X92=0,X91,IF(Y92=0,Y91,IF(Z92=0,Z91,"None"))))))))))</f>
        <v>#N/A</v>
      </c>
      <c r="R93" s="11" t="str">
        <f>IF(R92=0,R91,IF(S92=0,S91,IF(T92=0,T91,IF(U92=0,U91,IF(V92=0,V91,IF(W92=0,W91,IF(X92=0,X91,IF(Y92=0,Y91,IF(Z92=0,Z91,"None")))))))))</f>
        <v>✿ (£££)｜Tarquin's Gin</v>
      </c>
      <c r="S93" s="11" t="str">
        <f>IF(S92=0,S91,IF(T92=0,T91,IF(U92=0,U91,IF(V92=0,V91,IF(W92=0,W91,IF(X92=0,X91,IF(Y92=0,Y91,IF(Z92=0,Z91,"None"))))))))</f>
        <v xml:space="preserve">✿ (£££)｜Edinburgh Seaside Gin </v>
      </c>
      <c r="T93" s="11" t="e">
        <f>IF(T92=0,T91,IF(U92=0,U91,IF(V92=0,V91,IF(W92=0,W91,IF(X92=0,X91,IF(Y92=0,Y91,IF(Z92=0,Z91,"None")))))))</f>
        <v>#N/A</v>
      </c>
      <c r="U93" s="11" t="e">
        <f>IF(U92=0,U91,IF(V92=0,V91,IF(W92=0,W91,IF(X92=0,X91,IF(Y92=0,Y91,IF(Z92=0,Z91,"None"))))))</f>
        <v>#N/A</v>
      </c>
      <c r="V93" s="11" t="e">
        <f>IF(V92=0,V91,IF(W92=0,W91,IF(X92=0,X91,IF(Y92=0,Y91,IF(Z92=0,Z91,"None")))))</f>
        <v>#N/A</v>
      </c>
      <c r="W93" s="11" t="e">
        <f>IF(W92=0,W91,IF(X92=0,X91,IF(Y92=0,Y91,IF(Z92=0,Z91,"None"))))</f>
        <v>#N/A</v>
      </c>
      <c r="X93" s="11" t="e">
        <f>IF(X92=0,X91,IF(Y92=0,Y91,IF(Z92=0,Z91,"None")))</f>
        <v>#N/A</v>
      </c>
      <c r="Y93" s="11" t="e">
        <f>IF(Y92=0,Y91,IF(Z92=0,Z91,"None"))</f>
        <v>#N/A</v>
      </c>
      <c r="Z93" s="11" t="e">
        <f>IF(Z92=0,Z91,"None")</f>
        <v>#N/A</v>
      </c>
    </row>
    <row r="94" spans="2:26" x14ac:dyDescent="0.25">
      <c r="B94" s="7" t="s">
        <v>41</v>
      </c>
      <c r="E94" s="7">
        <f>VLOOKUP(B94,'Input Processing'!$G$3:$J$20,4,FALSE)</f>
        <v>0</v>
      </c>
      <c r="F94" s="7">
        <f>J12</f>
        <v>1</v>
      </c>
      <c r="G94" s="7">
        <f t="shared" si="14"/>
        <v>1</v>
      </c>
      <c r="H94" s="7" t="str">
        <f t="shared" si="15"/>
        <v>CitrusPremium</v>
      </c>
      <c r="I94" s="7" t="str">
        <f t="shared" si="16"/>
        <v/>
      </c>
      <c r="K94" s="7" t="str">
        <f>IF(J93=K93,"",K93)</f>
        <v>✿  (£££)｜Hendrick's Gin</v>
      </c>
      <c r="L94" s="7" t="str">
        <f>IF(K93=L93,"",L93)</f>
        <v>✿ (£££)｜The Botanist</v>
      </c>
      <c r="M94" s="7" t="str">
        <f t="shared" ref="M94:Z94" si="18">IF(L93=M93,"",M93)</f>
        <v>✿ (£££)｜BLOOM Original Gin</v>
      </c>
      <c r="N94" s="7" t="str">
        <f t="shared" si="18"/>
        <v>✿ (£££)｜Caorunn Gin</v>
      </c>
      <c r="O94" s="7" t="str">
        <f t="shared" si="18"/>
        <v xml:space="preserve">✿  (£££)｜Aviation Gin </v>
      </c>
      <c r="P94" s="7" t="str">
        <f t="shared" si="18"/>
        <v>✿ (£££)｜Hendrick's Midsummer Solstice</v>
      </c>
      <c r="Q94" s="7" t="e">
        <f t="shared" si="18"/>
        <v>#N/A</v>
      </c>
      <c r="R94" s="7" t="e">
        <f t="shared" si="18"/>
        <v>#N/A</v>
      </c>
      <c r="S94" s="7" t="str">
        <f t="shared" si="18"/>
        <v xml:space="preserve">✿ (£££)｜Edinburgh Seaside Gin </v>
      </c>
      <c r="T94" s="7" t="e">
        <f t="shared" si="18"/>
        <v>#N/A</v>
      </c>
      <c r="U94" s="7" t="e">
        <f t="shared" si="18"/>
        <v>#N/A</v>
      </c>
      <c r="V94" s="7" t="e">
        <f t="shared" si="18"/>
        <v>#N/A</v>
      </c>
      <c r="W94" s="7" t="e">
        <f t="shared" si="18"/>
        <v>#N/A</v>
      </c>
      <c r="X94" s="7" t="e">
        <f t="shared" si="18"/>
        <v>#N/A</v>
      </c>
      <c r="Y94" s="7" t="e">
        <f t="shared" si="18"/>
        <v>#N/A</v>
      </c>
      <c r="Z94" s="7" t="e">
        <f t="shared" si="18"/>
        <v>#N/A</v>
      </c>
    </row>
    <row r="95" spans="2:26" x14ac:dyDescent="0.25">
      <c r="B95" s="7" t="s">
        <v>42</v>
      </c>
      <c r="E95" s="7">
        <f>VLOOKUP(B95,'Input Processing'!$G$3:$J$20,4,FALSE)</f>
        <v>0</v>
      </c>
      <c r="F95" s="7">
        <f>J22</f>
        <v>0</v>
      </c>
      <c r="G95" s="7">
        <f t="shared" si="14"/>
        <v>0</v>
      </c>
      <c r="H95" s="7" t="str">
        <f t="shared" si="15"/>
        <v/>
      </c>
      <c r="I95" s="7" t="str">
        <f t="shared" si="16"/>
        <v/>
      </c>
      <c r="K95" s="7" t="str">
        <f>IF(K92=0,K91,IF(L92=0,L91,IF(M92=0,M91,IF(N92=0,N91,IF(O92=0,O91,IF(P92=0,P91,IF(Q92=0,Q91,IF(R92=0,R91,IF(S92=0,S91,IF(T92=0,T91,IF(U92=0,U91,IF(V92=0,V91,IF(W92=0,W91,IF(X92=0,X91,IF(Y92=0,Y91,IF(Z92=0,Z91,"None"))))))))))))))))</f>
        <v>✿  (£££)｜Hendrick's Gin</v>
      </c>
      <c r="L95" s="7" t="str">
        <f>IF(L94="",M94,IF(L92=0,L91,IF(M92=0,M91,IF(N92=0,N91,IF(O92=0,O91,IF(P92=0,P91,IF(Q92=0,Q91,IF(R92=0,R91,IF(S92=0,S91,IF(T92=0,T91,IF(U92=0,U91,IF(V92=0,V91,IF(W92=0,W91,IF(X92=0,X91,IF(Y92=0,Y91,IF(Z92=0,Z91,"None"))))))))))))))))</f>
        <v>✿ (£££)｜The Botanist</v>
      </c>
    </row>
    <row r="96" spans="2:26" x14ac:dyDescent="0.25">
      <c r="B96" s="7" t="s">
        <v>43</v>
      </c>
      <c r="E96" s="7">
        <f>VLOOKUP(B96,'Input Processing'!$G$3:$J$20,4,FALSE)</f>
        <v>0</v>
      </c>
      <c r="F96" s="7">
        <f>J18</f>
        <v>0</v>
      </c>
      <c r="G96" s="7">
        <f t="shared" si="14"/>
        <v>0</v>
      </c>
      <c r="H96" s="7" t="str">
        <f t="shared" si="15"/>
        <v/>
      </c>
      <c r="I96" s="7" t="str">
        <f t="shared" si="16"/>
        <v/>
      </c>
    </row>
    <row r="97" spans="2:16" x14ac:dyDescent="0.25">
      <c r="B97" s="7" t="s">
        <v>44</v>
      </c>
      <c r="E97" s="7">
        <f>VLOOKUP(B97,'Input Processing'!$G$3:$J$20,4,FALSE)</f>
        <v>0</v>
      </c>
      <c r="F97" s="7">
        <f>J19</f>
        <v>0</v>
      </c>
      <c r="G97" s="7">
        <f t="shared" si="14"/>
        <v>0</v>
      </c>
      <c r="H97" s="7" t="str">
        <f t="shared" si="15"/>
        <v/>
      </c>
      <c r="I97" s="7" t="str">
        <f t="shared" si="16"/>
        <v/>
      </c>
    </row>
    <row r="98" spans="2:16" x14ac:dyDescent="0.25">
      <c r="B98" s="7" t="s">
        <v>45</v>
      </c>
      <c r="E98" s="7">
        <f>VLOOKUP(B98,'Input Processing'!$G$3:$J$20,4,FALSE)</f>
        <v>0</v>
      </c>
      <c r="F98" s="7">
        <f>J20</f>
        <v>0</v>
      </c>
      <c r="G98" s="7">
        <f t="shared" si="14"/>
        <v>0</v>
      </c>
      <c r="H98" s="7" t="str">
        <f t="shared" si="15"/>
        <v/>
      </c>
      <c r="I98" s="7" t="str">
        <f t="shared" si="16"/>
        <v/>
      </c>
    </row>
    <row r="99" spans="2:16" x14ac:dyDescent="0.25">
      <c r="B99" s="7" t="s">
        <v>46</v>
      </c>
      <c r="E99" s="7">
        <f>VLOOKUP(B99,'Input Processing'!$G$3:$J$20,4,FALSE)</f>
        <v>0</v>
      </c>
      <c r="F99" s="7">
        <f>J10</f>
        <v>1</v>
      </c>
      <c r="G99" s="7">
        <f t="shared" si="14"/>
        <v>1</v>
      </c>
      <c r="H99" s="7" t="str">
        <f t="shared" si="15"/>
        <v>FruitStandard</v>
      </c>
      <c r="I99" s="7" t="str">
        <f t="shared" si="16"/>
        <v/>
      </c>
      <c r="K99" s="6" t="s">
        <v>118</v>
      </c>
      <c r="O99" s="6" t="s">
        <v>119</v>
      </c>
      <c r="P99" s="6"/>
    </row>
    <row r="100" spans="2:16" x14ac:dyDescent="0.25">
      <c r="B100" s="7" t="s">
        <v>47</v>
      </c>
      <c r="E100" s="7">
        <f>VLOOKUP(B100,'Input Processing'!$G$3:$J$20,4,FALSE)</f>
        <v>0</v>
      </c>
      <c r="F100" s="7">
        <f>J14</f>
        <v>0</v>
      </c>
      <c r="G100" s="7">
        <f t="shared" si="14"/>
        <v>0</v>
      </c>
      <c r="H100" s="7" t="str">
        <f t="shared" si="15"/>
        <v/>
      </c>
      <c r="I100" s="7" t="str">
        <f t="shared" si="16"/>
        <v/>
      </c>
      <c r="K100" s="6">
        <v>1</v>
      </c>
      <c r="L100" s="7" t="str">
        <f>IFERROR(K95,"None")</f>
        <v>✿  (£££)｜Hendrick's Gin</v>
      </c>
      <c r="O100" s="6">
        <v>1</v>
      </c>
      <c r="P100" s="7" t="str">
        <f>IFERROR((VLOOKUP(I106,'Input Processing'!I25:J54,2,FALSE)),"None")</f>
        <v>None</v>
      </c>
    </row>
    <row r="101" spans="2:16" x14ac:dyDescent="0.25">
      <c r="B101" s="7" t="s">
        <v>48</v>
      </c>
      <c r="E101" s="7">
        <f>VLOOKUP(B101,'Input Processing'!$G$3:$J$20,4,FALSE)</f>
        <v>0</v>
      </c>
      <c r="F101" s="7">
        <f>J13</f>
        <v>0</v>
      </c>
      <c r="G101" s="7">
        <f t="shared" si="14"/>
        <v>0</v>
      </c>
      <c r="H101" s="7" t="str">
        <f t="shared" si="15"/>
        <v/>
      </c>
      <c r="I101" s="7" t="str">
        <f t="shared" si="16"/>
        <v/>
      </c>
      <c r="K101" s="6">
        <v>2</v>
      </c>
      <c r="L101" s="7" t="str">
        <f>IFERROR(K90,IFERROR(L95,"None"))</f>
        <v>🍋 (£££)｜Plymouth Gin</v>
      </c>
      <c r="O101" s="6">
        <v>2</v>
      </c>
      <c r="P101" s="7" t="str">
        <f>IFERROR((VLOOKUP(I110,'Input Processing'!I25:J54,2,FALSE)),"None")</f>
        <v>None</v>
      </c>
    </row>
    <row r="102" spans="2:16" x14ac:dyDescent="0.25">
      <c r="B102" s="7" t="s">
        <v>49</v>
      </c>
      <c r="E102" s="7">
        <f>VLOOKUP(B102,'Input Processing'!$G$3:$J$20,4,FALSE)</f>
        <v>0</v>
      </c>
      <c r="F102" s="7">
        <f>J6</f>
        <v>0</v>
      </c>
      <c r="G102" s="7">
        <f t="shared" si="14"/>
        <v>0</v>
      </c>
      <c r="H102" s="7" t="str">
        <f t="shared" si="15"/>
        <v/>
      </c>
      <c r="I102" s="7" t="str">
        <f t="shared" si="16"/>
        <v/>
      </c>
      <c r="K102" s="6"/>
      <c r="O102" s="6"/>
    </row>
    <row r="103" spans="2:16" x14ac:dyDescent="0.25">
      <c r="B103" s="7" t="s">
        <v>50</v>
      </c>
      <c r="E103" s="7">
        <f>VLOOKUP(B103,'Input Processing'!$G$3:$J$20,4,FALSE)</f>
        <v>0</v>
      </c>
      <c r="F103" s="7">
        <f>J9</f>
        <v>0</v>
      </c>
      <c r="G103" s="7">
        <f t="shared" si="14"/>
        <v>0</v>
      </c>
      <c r="H103" s="7" t="str">
        <f t="shared" si="15"/>
        <v/>
      </c>
      <c r="I103" s="7" t="str">
        <f t="shared" si="16"/>
        <v/>
      </c>
    </row>
    <row r="104" spans="2:16" x14ac:dyDescent="0.25">
      <c r="B104" s="7" t="s">
        <v>51</v>
      </c>
      <c r="E104" s="7">
        <f>VLOOKUP(B104,'Input Processing'!$G$3:$J$20,4,FALSE)</f>
        <v>0</v>
      </c>
      <c r="F104" s="7">
        <f>J8</f>
        <v>0</v>
      </c>
      <c r="G104" s="7">
        <f t="shared" si="14"/>
        <v>0</v>
      </c>
      <c r="H104" s="7" t="str">
        <f t="shared" si="15"/>
        <v/>
      </c>
      <c r="I104" s="7" t="str">
        <f t="shared" si="16"/>
        <v/>
      </c>
    </row>
    <row r="105" spans="2:16" x14ac:dyDescent="0.25">
      <c r="B105" s="7" t="s">
        <v>52</v>
      </c>
      <c r="E105" s="7">
        <f>VLOOKUP(B105,'Input Processing'!$G$3:$J$20,4,FALSE)</f>
        <v>0</v>
      </c>
      <c r="F105" s="7">
        <f>J7</f>
        <v>0</v>
      </c>
      <c r="G105" s="7">
        <f t="shared" si="14"/>
        <v>0</v>
      </c>
      <c r="H105" s="7" t="str">
        <f t="shared" si="15"/>
        <v/>
      </c>
      <c r="I105" s="7" t="str">
        <f t="shared" si="16"/>
        <v/>
      </c>
    </row>
    <row r="106" spans="2:16" x14ac:dyDescent="0.25">
      <c r="H106" s="7" t="str">
        <f>INDEX(H88:H105,MATCH(TRUE,INDEX((H88:H105&lt;&gt;""),0),0))</f>
        <v>FloralSuper Premium</v>
      </c>
      <c r="I106" s="7" t="e">
        <f>INDEX(I88:I105,MATCH(TRUE,INDEX((I88:I105&lt;&gt;""),0),0))</f>
        <v>#N/A</v>
      </c>
    </row>
    <row r="108" spans="2:16" s="9" customFormat="1" x14ac:dyDescent="0.25"/>
    <row r="110" spans="2:16" x14ac:dyDescent="0.25">
      <c r="H110" s="7" t="str">
        <f t="shared" ref="H110:H126" si="19">IF(H88=$H$106,H111,IF(H88="",H111,H88))</f>
        <v>JuniperSuper Premium</v>
      </c>
      <c r="I110" s="7" t="e">
        <f>IF(I88=$I$106,I111,IF(I88="",I111,I88))</f>
        <v>#N/A</v>
      </c>
    </row>
    <row r="111" spans="2:16" x14ac:dyDescent="0.25">
      <c r="H111" s="7" t="str">
        <f t="shared" si="19"/>
        <v>JuniperSuper Premium</v>
      </c>
      <c r="I111" s="7" t="e">
        <f t="shared" ref="I111:I127" si="20">IF(I89=$I$106,I112,IF(I89="",I112,I89))</f>
        <v>#N/A</v>
      </c>
    </row>
    <row r="112" spans="2:16" x14ac:dyDescent="0.25">
      <c r="H112" s="7" t="str">
        <f t="shared" si="19"/>
        <v>FruitPremium</v>
      </c>
      <c r="I112" s="7" t="e">
        <f t="shared" si="20"/>
        <v>#N/A</v>
      </c>
    </row>
    <row r="113" spans="8:9" x14ac:dyDescent="0.25">
      <c r="H113" s="7" t="str">
        <f t="shared" si="19"/>
        <v>JuniperStandard</v>
      </c>
      <c r="I113" s="7" t="e">
        <f t="shared" si="20"/>
        <v>#N/A</v>
      </c>
    </row>
    <row r="114" spans="8:9" x14ac:dyDescent="0.25">
      <c r="H114" s="7" t="str">
        <f t="shared" si="19"/>
        <v>JuniperPremium</v>
      </c>
      <c r="I114" s="7" t="e">
        <f t="shared" si="20"/>
        <v>#N/A</v>
      </c>
    </row>
    <row r="115" spans="8:9" x14ac:dyDescent="0.25">
      <c r="H115" s="7" t="str">
        <f t="shared" si="19"/>
        <v>JuniperPremium</v>
      </c>
      <c r="I115" s="7" t="e">
        <f t="shared" si="20"/>
        <v>#N/A</v>
      </c>
    </row>
    <row r="116" spans="8:9" x14ac:dyDescent="0.25">
      <c r="H116" s="7" t="str">
        <f t="shared" si="19"/>
        <v>CitrusPremium</v>
      </c>
      <c r="I116" s="7" t="e">
        <f t="shared" si="20"/>
        <v>#N/A</v>
      </c>
    </row>
    <row r="117" spans="8:9" x14ac:dyDescent="0.25">
      <c r="H117" s="7" t="str">
        <f t="shared" si="19"/>
        <v>FruitStandard</v>
      </c>
      <c r="I117" s="7" t="e">
        <f t="shared" si="20"/>
        <v>#N/A</v>
      </c>
    </row>
    <row r="118" spans="8:9" x14ac:dyDescent="0.25">
      <c r="H118" s="7" t="str">
        <f t="shared" si="19"/>
        <v>FruitStandard</v>
      </c>
      <c r="I118" s="7" t="e">
        <f t="shared" si="20"/>
        <v>#N/A</v>
      </c>
    </row>
    <row r="119" spans="8:9" x14ac:dyDescent="0.25">
      <c r="H119" s="7" t="str">
        <f t="shared" si="19"/>
        <v>FruitStandard</v>
      </c>
      <c r="I119" s="7" t="e">
        <f t="shared" si="20"/>
        <v>#N/A</v>
      </c>
    </row>
    <row r="120" spans="8:9" x14ac:dyDescent="0.25">
      <c r="H120" s="7" t="str">
        <f t="shared" si="19"/>
        <v>FruitStandard</v>
      </c>
      <c r="I120" s="7" t="e">
        <f t="shared" si="20"/>
        <v>#N/A</v>
      </c>
    </row>
    <row r="121" spans="8:9" x14ac:dyDescent="0.25">
      <c r="H121" s="7" t="str">
        <f t="shared" si="19"/>
        <v>FruitStandard</v>
      </c>
      <c r="I121" s="7" t="e">
        <f t="shared" si="20"/>
        <v>#N/A</v>
      </c>
    </row>
    <row r="122" spans="8:9" x14ac:dyDescent="0.25">
      <c r="H122" s="7">
        <f t="shared" si="19"/>
        <v>0</v>
      </c>
      <c r="I122" s="7" t="e">
        <f t="shared" si="20"/>
        <v>#N/A</v>
      </c>
    </row>
    <row r="123" spans="8:9" x14ac:dyDescent="0.25">
      <c r="H123" s="7">
        <f t="shared" si="19"/>
        <v>0</v>
      </c>
      <c r="I123" s="7" t="e">
        <f t="shared" si="20"/>
        <v>#N/A</v>
      </c>
    </row>
    <row r="124" spans="8:9" x14ac:dyDescent="0.25">
      <c r="H124" s="7">
        <f t="shared" si="19"/>
        <v>0</v>
      </c>
      <c r="I124" s="7" t="e">
        <f t="shared" si="20"/>
        <v>#N/A</v>
      </c>
    </row>
    <row r="125" spans="8:9" x14ac:dyDescent="0.25">
      <c r="H125" s="7">
        <f t="shared" si="19"/>
        <v>0</v>
      </c>
      <c r="I125" s="7" t="e">
        <f t="shared" si="20"/>
        <v>#N/A</v>
      </c>
    </row>
    <row r="126" spans="8:9" x14ac:dyDescent="0.25">
      <c r="H126" s="7">
        <f t="shared" si="19"/>
        <v>0</v>
      </c>
      <c r="I126" s="7" t="e">
        <f t="shared" si="20"/>
        <v>#N/A</v>
      </c>
    </row>
    <row r="127" spans="8:9" x14ac:dyDescent="0.25">
      <c r="H127" s="7">
        <f>IF(H105=$H$106,H128,IF(H105="",H128,H105))</f>
        <v>0</v>
      </c>
      <c r="I127" s="7" t="e">
        <f t="shared" si="20"/>
        <v>#N/A</v>
      </c>
    </row>
  </sheetData>
  <mergeCells count="1">
    <mergeCell ref="F5:F10"/>
  </mergeCells>
  <pageMargins left="0.7" right="0.7" top="0.75" bottom="0.75" header="0.3" footer="0.3"/>
  <pageSetup paperSize="21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27"/>
  <sheetViews>
    <sheetView zoomScale="85" zoomScaleNormal="85" workbookViewId="0">
      <selection activeCell="O15" sqref="O15"/>
    </sheetView>
  </sheetViews>
  <sheetFormatPr defaultColWidth="8.85546875" defaultRowHeight="15" x14ac:dyDescent="0.25"/>
  <cols>
    <col min="1" max="1" width="4" style="7" customWidth="1"/>
    <col min="2" max="3" width="8.85546875" style="7"/>
    <col min="4" max="4" width="8.85546875" style="7" customWidth="1"/>
    <col min="5" max="7" width="9.85546875" style="7" customWidth="1"/>
    <col min="8" max="8" width="11.140625" style="7" customWidth="1"/>
    <col min="9" max="10" width="8.85546875" style="7"/>
    <col min="11" max="15" width="21.5703125" style="7" customWidth="1"/>
    <col min="16" max="22" width="8.85546875" style="7"/>
    <col min="23" max="23" width="9.28515625" style="7" bestFit="1" customWidth="1"/>
    <col min="24" max="16384" width="8.85546875" style="7"/>
  </cols>
  <sheetData>
    <row r="2" spans="2:23" x14ac:dyDescent="0.25">
      <c r="B2" s="15" t="s">
        <v>127</v>
      </c>
    </row>
    <row r="3" spans="2:23" x14ac:dyDescent="0.25">
      <c r="N3" s="7" t="s">
        <v>101</v>
      </c>
    </row>
    <row r="4" spans="2:23" ht="15.75" thickBot="1" x14ac:dyDescent="0.3">
      <c r="B4" s="10" t="s">
        <v>4</v>
      </c>
    </row>
    <row r="5" spans="2:23" ht="15.75" thickBot="1" x14ac:dyDescent="0.3">
      <c r="B5" s="6" t="s">
        <v>54</v>
      </c>
      <c r="F5" s="229" t="s">
        <v>60</v>
      </c>
      <c r="G5" s="7" t="s">
        <v>38</v>
      </c>
      <c r="J5" s="11">
        <f>'PFL Flexible Range Calculation'!J5</f>
        <v>0</v>
      </c>
      <c r="N5" s="7" t="s">
        <v>65</v>
      </c>
      <c r="P5" s="7" t="s">
        <v>472</v>
      </c>
    </row>
    <row r="6" spans="2:23" ht="14.45" customHeight="1" thickBot="1" x14ac:dyDescent="0.3">
      <c r="B6" s="7" t="s">
        <v>57</v>
      </c>
      <c r="D6" s="11">
        <f>'PFL Flexible Range Calculation'!D6</f>
        <v>11</v>
      </c>
      <c r="F6" s="229"/>
      <c r="G6" s="7" t="s">
        <v>49</v>
      </c>
      <c r="J6" s="11">
        <f>'PFL Flexible Range Calculation'!J6</f>
        <v>1</v>
      </c>
      <c r="N6" s="7" t="s">
        <v>66</v>
      </c>
      <c r="P6" s="7" t="s">
        <v>473</v>
      </c>
    </row>
    <row r="7" spans="2:23" ht="15.75" thickBot="1" x14ac:dyDescent="0.3">
      <c r="F7" s="229"/>
      <c r="G7" s="7" t="s">
        <v>52</v>
      </c>
      <c r="J7" s="11">
        <f>'PFL Flexible Range Calculation'!J7</f>
        <v>0</v>
      </c>
      <c r="N7" s="7" t="s">
        <v>67</v>
      </c>
      <c r="P7" s="7" t="s">
        <v>72</v>
      </c>
    </row>
    <row r="8" spans="2:23" ht="15.75" thickBot="1" x14ac:dyDescent="0.3">
      <c r="B8" s="6" t="s">
        <v>55</v>
      </c>
      <c r="F8" s="229"/>
      <c r="G8" s="7" t="s">
        <v>51</v>
      </c>
      <c r="J8" s="11">
        <f>'PFL Flexible Range Calculation'!J8</f>
        <v>0</v>
      </c>
      <c r="N8" s="7" t="s">
        <v>69</v>
      </c>
      <c r="P8" s="7" t="s">
        <v>70</v>
      </c>
    </row>
    <row r="9" spans="2:23" ht="15.75" thickBot="1" x14ac:dyDescent="0.3">
      <c r="B9" s="7" t="s">
        <v>15</v>
      </c>
      <c r="D9" s="11">
        <f>'PFL Flexible Range Calculation'!D9</f>
        <v>2</v>
      </c>
      <c r="F9" s="229"/>
      <c r="G9" s="7" t="s">
        <v>50</v>
      </c>
      <c r="J9" s="11">
        <f>'PFL Flexible Range Calculation'!J9</f>
        <v>0</v>
      </c>
      <c r="N9" s="7" t="s">
        <v>68</v>
      </c>
      <c r="P9" s="7" t="s">
        <v>71</v>
      </c>
    </row>
    <row r="10" spans="2:23" ht="15.75" thickBot="1" x14ac:dyDescent="0.3">
      <c r="B10" s="7" t="s">
        <v>17</v>
      </c>
      <c r="D10" s="11">
        <f>'PFL Flexible Range Calculation'!D10</f>
        <v>4</v>
      </c>
      <c r="F10" s="229"/>
      <c r="G10" s="7" t="s">
        <v>46</v>
      </c>
      <c r="J10" s="11">
        <f>'PFL Flexible Range Calculation'!J10</f>
        <v>1</v>
      </c>
    </row>
    <row r="11" spans="2:23" ht="15.75" thickBot="1" x14ac:dyDescent="0.3">
      <c r="B11" s="7" t="s">
        <v>19</v>
      </c>
      <c r="D11" s="11">
        <f>'PFL Flexible Range Calculation'!D11</f>
        <v>5</v>
      </c>
      <c r="G11" s="7" t="s">
        <v>40</v>
      </c>
      <c r="J11" s="11">
        <f>'PFL Flexible Range Calculation'!J11</f>
        <v>2</v>
      </c>
      <c r="N11" s="7" t="s">
        <v>80</v>
      </c>
      <c r="P11" s="7" t="s">
        <v>88</v>
      </c>
    </row>
    <row r="12" spans="2:23" ht="15.75" thickBot="1" x14ac:dyDescent="0.3">
      <c r="G12" s="7" t="s">
        <v>41</v>
      </c>
      <c r="J12" s="11">
        <f>'PFL Flexible Range Calculation'!J12</f>
        <v>1</v>
      </c>
      <c r="N12" s="7" t="s">
        <v>81</v>
      </c>
      <c r="P12" s="7" t="s">
        <v>89</v>
      </c>
    </row>
    <row r="13" spans="2:23" ht="15.75" thickBot="1" x14ac:dyDescent="0.3">
      <c r="B13" s="6" t="s">
        <v>56</v>
      </c>
      <c r="G13" s="7" t="s">
        <v>48</v>
      </c>
      <c r="J13" s="11">
        <f>'PFL Flexible Range Calculation'!J13</f>
        <v>0</v>
      </c>
      <c r="N13" s="7" t="s">
        <v>83</v>
      </c>
      <c r="P13" s="7" t="s">
        <v>87</v>
      </c>
    </row>
    <row r="14" spans="2:23" ht="15.75" thickBot="1" x14ac:dyDescent="0.3">
      <c r="B14" s="7" t="s">
        <v>22</v>
      </c>
      <c r="D14" s="11">
        <f>'PFL Flexible Range Calculation'!D14</f>
        <v>3</v>
      </c>
      <c r="G14" s="7" t="s">
        <v>47</v>
      </c>
      <c r="J14" s="11">
        <f>'PFL Flexible Range Calculation'!J14</f>
        <v>0</v>
      </c>
      <c r="N14" s="7" t="s">
        <v>82</v>
      </c>
      <c r="P14" s="7" t="s">
        <v>86</v>
      </c>
    </row>
    <row r="15" spans="2:23" ht="15.75" thickBot="1" x14ac:dyDescent="0.3">
      <c r="B15" s="7" t="s">
        <v>23</v>
      </c>
      <c r="D15" s="11">
        <f>'PFL Flexible Range Calculation'!D15</f>
        <v>3</v>
      </c>
      <c r="G15" s="7" t="s">
        <v>39</v>
      </c>
      <c r="J15" s="11">
        <f>'PFL Flexible Range Calculation'!J15</f>
        <v>0</v>
      </c>
      <c r="N15" s="7" t="s">
        <v>84</v>
      </c>
      <c r="P15" s="7" t="s">
        <v>85</v>
      </c>
    </row>
    <row r="16" spans="2:23" ht="15.75" thickBot="1" x14ac:dyDescent="0.3">
      <c r="B16" s="7" t="s">
        <v>24</v>
      </c>
      <c r="D16" s="11">
        <f>'PFL Flexible Range Calculation'!D16</f>
        <v>0</v>
      </c>
      <c r="G16" s="7" t="s">
        <v>37</v>
      </c>
      <c r="J16" s="11">
        <f>'PFL Flexible Range Calculation'!J16</f>
        <v>1</v>
      </c>
      <c r="W16" s="23"/>
    </row>
    <row r="17" spans="2:21" ht="15.75" thickBot="1" x14ac:dyDescent="0.3">
      <c r="B17" s="7" t="s">
        <v>25</v>
      </c>
      <c r="D17" s="11">
        <f>'PFL Flexible Range Calculation'!D17</f>
        <v>1</v>
      </c>
      <c r="G17" s="7" t="s">
        <v>36</v>
      </c>
      <c r="J17" s="11">
        <f>'PFL Flexible Range Calculation'!J17</f>
        <v>1</v>
      </c>
      <c r="N17" s="7" t="s">
        <v>93</v>
      </c>
      <c r="P17" s="7" t="s">
        <v>94</v>
      </c>
    </row>
    <row r="18" spans="2:21" ht="15.75" thickBot="1" x14ac:dyDescent="0.3">
      <c r="B18" s="7" t="s">
        <v>26</v>
      </c>
      <c r="D18" s="11">
        <f>'PFL Flexible Range Calculation'!D18</f>
        <v>1</v>
      </c>
      <c r="G18" s="7" t="s">
        <v>43</v>
      </c>
      <c r="J18" s="11">
        <f>'PFL Flexible Range Calculation'!J18</f>
        <v>1</v>
      </c>
      <c r="N18" s="7" t="s">
        <v>92</v>
      </c>
      <c r="P18" s="7" t="s">
        <v>96</v>
      </c>
    </row>
    <row r="19" spans="2:21" ht="15.75" thickBot="1" x14ac:dyDescent="0.3">
      <c r="B19" s="7" t="s">
        <v>27</v>
      </c>
      <c r="D19" s="11">
        <f>'PFL Flexible Range Calculation'!D19</f>
        <v>3</v>
      </c>
      <c r="G19" s="7" t="s">
        <v>44</v>
      </c>
      <c r="J19" s="11">
        <f>'PFL Flexible Range Calculation'!J19</f>
        <v>0</v>
      </c>
      <c r="N19" s="7" t="s">
        <v>97</v>
      </c>
      <c r="P19" s="7" t="s">
        <v>99</v>
      </c>
    </row>
    <row r="20" spans="2:21" ht="15.75" thickBot="1" x14ac:dyDescent="0.3">
      <c r="G20" s="7" t="s">
        <v>45</v>
      </c>
      <c r="J20" s="11">
        <f>'PFL Flexible Range Calculation'!J20</f>
        <v>1</v>
      </c>
      <c r="N20" s="7" t="s">
        <v>98</v>
      </c>
      <c r="P20" s="7" t="s">
        <v>100</v>
      </c>
    </row>
    <row r="21" spans="2:21" ht="15.75" thickBot="1" x14ac:dyDescent="0.3">
      <c r="F21" s="12"/>
      <c r="G21" s="12" t="s">
        <v>35</v>
      </c>
      <c r="H21" s="12"/>
      <c r="J21" s="11">
        <f>'PFL Flexible Range Calculation'!J21</f>
        <v>1</v>
      </c>
      <c r="N21" s="7" t="s">
        <v>91</v>
      </c>
      <c r="P21" s="7" t="s">
        <v>95</v>
      </c>
    </row>
    <row r="22" spans="2:21" ht="15.75" thickBot="1" x14ac:dyDescent="0.3">
      <c r="G22" s="7" t="s">
        <v>42</v>
      </c>
      <c r="J22" s="11">
        <f>'PFL Flexible Range Calculation'!J22</f>
        <v>1</v>
      </c>
    </row>
    <row r="23" spans="2:21" s="9" customFormat="1" x14ac:dyDescent="0.25"/>
    <row r="25" spans="2:21" x14ac:dyDescent="0.25">
      <c r="B25" s="10" t="s">
        <v>62</v>
      </c>
    </row>
    <row r="26" spans="2:21" ht="14.45" customHeight="1" x14ac:dyDescent="0.25">
      <c r="B26" s="6" t="s">
        <v>63</v>
      </c>
      <c r="F26" s="6" t="s">
        <v>74</v>
      </c>
      <c r="G26" s="18" t="s">
        <v>4</v>
      </c>
      <c r="H26" s="19" t="s">
        <v>79</v>
      </c>
      <c r="I26" s="19" t="s">
        <v>78</v>
      </c>
      <c r="J26" s="20"/>
      <c r="K26" s="20" t="s">
        <v>74</v>
      </c>
      <c r="L26" s="18" t="s">
        <v>3</v>
      </c>
      <c r="M26" s="19" t="s">
        <v>79</v>
      </c>
      <c r="N26" s="19" t="s">
        <v>78</v>
      </c>
      <c r="Q26" s="6" t="s">
        <v>75</v>
      </c>
    </row>
    <row r="27" spans="2:21" x14ac:dyDescent="0.25">
      <c r="B27" s="7" t="s">
        <v>64</v>
      </c>
      <c r="C27" s="17">
        <f>'Input Processing'!D4-D6</f>
        <v>-11</v>
      </c>
      <c r="F27" s="7" t="s">
        <v>77</v>
      </c>
      <c r="G27" s="19" t="s">
        <v>15</v>
      </c>
      <c r="H27" s="19">
        <f>SUM(D9:D10)/D6</f>
        <v>0.54545454545454541</v>
      </c>
      <c r="I27" s="19">
        <f>H27/SUM(H27:H28)</f>
        <v>0.39999999999999991</v>
      </c>
      <c r="J27" s="19"/>
      <c r="K27" s="19" t="s">
        <v>77</v>
      </c>
      <c r="L27" s="19" t="s">
        <v>15</v>
      </c>
      <c r="M27" s="19" t="e">
        <f>SUM('Input Processing'!D7:D8)/'Input Processing'!D4</f>
        <v>#DIV/0!</v>
      </c>
      <c r="N27" s="19" t="e">
        <f>M27/SUM(M27:M28)</f>
        <v>#DIV/0!</v>
      </c>
      <c r="O27" s="7" t="e">
        <f>N27-I27</f>
        <v>#DIV/0!</v>
      </c>
      <c r="Q27" s="7" t="s">
        <v>90</v>
      </c>
      <c r="R27" s="22">
        <f>SUM(U27:U32)/COUNTIF(D14:D19,"&lt;&gt;0")</f>
        <v>0</v>
      </c>
      <c r="T27" s="19" t="s">
        <v>22</v>
      </c>
      <c r="U27" s="19">
        <f>MIN(1,IFERROR('Input Processing'!D12/D14,0))</f>
        <v>0</v>
      </c>
    </row>
    <row r="28" spans="2:21" x14ac:dyDescent="0.25">
      <c r="B28" s="7" t="s">
        <v>73</v>
      </c>
      <c r="C28" s="17" t="str">
        <f>IF(C27&gt;(D6/2.5),"SIZELARGE",IF(AND((C27&gt;=(2)),(C27&lt;=(D6/2.5))),"SIZESLARG",IF(C27&lt;=(-2),"SIZESMALL",IF(OR(C27=(1),C27=(-1)),"SIZESUIT",IF(C27=0,"SIZEPERF","")))))</f>
        <v>SIZESMALL</v>
      </c>
      <c r="G28" s="21" t="s">
        <v>17</v>
      </c>
      <c r="H28" s="19">
        <f>SUM(D10:D11)/D6</f>
        <v>0.81818181818181823</v>
      </c>
      <c r="I28" s="19">
        <f>H28/SUM(H27:H28)</f>
        <v>0.6</v>
      </c>
      <c r="J28" s="19"/>
      <c r="K28" s="19"/>
      <c r="L28" s="21" t="s">
        <v>17</v>
      </c>
      <c r="M28" s="19" t="e">
        <f>SUM('Input Processing'!D8:D9)/'Input Processing'!D4</f>
        <v>#DIV/0!</v>
      </c>
      <c r="N28" s="19" t="e">
        <f>M28/SUM(M27:M28)</f>
        <v>#DIV/0!</v>
      </c>
      <c r="Q28" s="7" t="s">
        <v>73</v>
      </c>
      <c r="R28" s="7" t="str">
        <f>IF(AND(R27&lt;0.3),"FLAV30",IF(AND(R27&gt;=0.3,R27&lt;0.5),"FLAV50",IF(AND(R27&gt;=0.5,R27&lt;0.75),"FLAV75",IF(AND(R27&gt;=0.75,R27&lt;1),"FLAV99",IF(R27=1,"FLAV100","F")))))</f>
        <v>FLAV30</v>
      </c>
      <c r="T28" s="19" t="s">
        <v>23</v>
      </c>
      <c r="U28" s="19">
        <f>MIN(1,IFERROR('Input Processing'!D13/D15,0))</f>
        <v>0</v>
      </c>
    </row>
    <row r="29" spans="2:21" x14ac:dyDescent="0.25">
      <c r="B29" s="7" t="s">
        <v>76</v>
      </c>
      <c r="C29" s="17" t="str">
        <f>IF(C27=0,"",IF(C27=-1,"Add 1 gin",IF(C27=1,"Remove 1 gin",IF(C27&gt;1,"Remove "&amp;ABS(C27)&amp;" gins",IF(C27&lt;-1,"Add "&amp;ABS(C27)&amp;" gins","F")))))</f>
        <v>Add 11 gins</v>
      </c>
      <c r="F29" s="7" t="s">
        <v>64</v>
      </c>
      <c r="G29" s="7" t="e">
        <f>N27-I27</f>
        <v>#DIV/0!</v>
      </c>
      <c r="T29" s="19" t="s">
        <v>24</v>
      </c>
      <c r="U29" s="19">
        <f>MIN(1,IFERROR('Input Processing'!D14/D16,0))</f>
        <v>0</v>
      </c>
    </row>
    <row r="30" spans="2:21" x14ac:dyDescent="0.25">
      <c r="F30" s="7" t="s">
        <v>73</v>
      </c>
      <c r="G30" s="7" t="e">
        <f>IF(G29&lt;-0.2,"PRICEPREMI",IF(AND(G29&gt;=-0.2,G29&lt;0),"PRICESPREM",IF(G29=0,"PRICEPERF",IF(AND(G29&lt;=0.2,G29&gt;0),"PRICESSTAN",IF(G29&gt;0.2,"PRICESTAND","F")))))</f>
        <v>#DIV/0!</v>
      </c>
      <c r="T30" s="19" t="s">
        <v>25</v>
      </c>
      <c r="U30" s="19">
        <f>MIN(1,IFERROR('Input Processing'!D15/D17,0))</f>
        <v>0</v>
      </c>
    </row>
    <row r="31" spans="2:21" x14ac:dyDescent="0.25">
      <c r="T31" s="19" t="s">
        <v>26</v>
      </c>
      <c r="U31" s="19">
        <f>MIN(1,IFERROR('Input Processing'!D16/D18,0))</f>
        <v>0</v>
      </c>
    </row>
    <row r="32" spans="2:21" x14ac:dyDescent="0.25">
      <c r="T32" s="19" t="s">
        <v>27</v>
      </c>
      <c r="U32" s="19">
        <f>MIN(1,IFERROR('Input Processing'!D17/D19,0))</f>
        <v>0</v>
      </c>
    </row>
    <row r="34" spans="2:14" s="9" customFormat="1" x14ac:dyDescent="0.25"/>
    <row r="36" spans="2:14" x14ac:dyDescent="0.25">
      <c r="B36" s="10" t="s">
        <v>105</v>
      </c>
    </row>
    <row r="38" spans="2:14" x14ac:dyDescent="0.25">
      <c r="B38" s="6" t="s">
        <v>74</v>
      </c>
      <c r="C38" s="18" t="s">
        <v>4</v>
      </c>
      <c r="D38" s="18" t="s">
        <v>3</v>
      </c>
    </row>
    <row r="39" spans="2:14" x14ac:dyDescent="0.25">
      <c r="B39" s="7" t="s">
        <v>106</v>
      </c>
      <c r="C39" s="7">
        <f>D9/$D$6</f>
        <v>0.18181818181818182</v>
      </c>
      <c r="D39" s="7" t="e">
        <f>'Input Processing'!D7/'Input Processing'!$D$4</f>
        <v>#DIV/0!</v>
      </c>
      <c r="E39" s="25" t="s">
        <v>15</v>
      </c>
      <c r="F39" s="7" t="e">
        <f>IF((ABS(ROUNDDOWN((D39-C39)/(1/('Input Processing'!$D$4)),0)))=0,"",IF(D39&lt;&gt;C39,(IF(D39&gt;C39,"Remove","Add")&amp;" "&amp;ABS(ROUNDDOWN((D39-C39)/(1/('Input Processing'!$D$4)),0))),"")&amp;IF(D39&lt;&gt;C39," Standard",""))</f>
        <v>#DIV/0!</v>
      </c>
      <c r="I39" s="7">
        <f>C39*1.2</f>
        <v>0.21818181818181817</v>
      </c>
      <c r="J39" s="7">
        <f>C39*0.8</f>
        <v>0.14545454545454548</v>
      </c>
      <c r="K39" s="7" t="e">
        <f>IF(AND(D39&gt;J39,D39&lt;I39),2,0.1)</f>
        <v>#DIV/0!</v>
      </c>
      <c r="L39" s="7">
        <f>C39*1.4</f>
        <v>0.25454545454545452</v>
      </c>
      <c r="M39" s="7">
        <f>C39*0.6</f>
        <v>0.10909090909090909</v>
      </c>
      <c r="N39" s="7" t="e">
        <f>IF(AND(D39&gt;M39,D39&lt;L39),1,0.1)</f>
        <v>#DIV/0!</v>
      </c>
    </row>
    <row r="40" spans="2:14" x14ac:dyDescent="0.25">
      <c r="B40" s="7" t="s">
        <v>107</v>
      </c>
      <c r="C40" s="7">
        <f t="shared" ref="C40:C41" si="0">D10/$D$6</f>
        <v>0.36363636363636365</v>
      </c>
      <c r="D40" s="7" t="e">
        <f>'Input Processing'!D8/'Input Processing'!$D$4</f>
        <v>#DIV/0!</v>
      </c>
      <c r="E40" s="25" t="s">
        <v>17</v>
      </c>
      <c r="F40" s="7" t="e">
        <f>IF((ABS(ROUNDDOWN((D40-C40)/(1/('Input Processing'!$D$4)),0)))=0,"",IF(D40&lt;&gt;C40,(IF(D40&gt;C40,"Remove","Add")&amp;" "&amp;ABS(ROUNDDOWN((D40-C40)/(1/('Input Processing'!$D$4)),0))),"")&amp;IF(D40&lt;&gt;C40," Premium",""))</f>
        <v>#DIV/0!</v>
      </c>
      <c r="I40" s="7">
        <f t="shared" ref="I40:I41" si="1">C40*1.2</f>
        <v>0.43636363636363634</v>
      </c>
      <c r="J40" s="7">
        <f t="shared" ref="J40:J41" si="2">C40*0.8</f>
        <v>0.29090909090909095</v>
      </c>
      <c r="K40" s="7" t="e">
        <f>IF(AND(D40&gt;J40,D40&lt;I40),2,0.1)</f>
        <v>#DIV/0!</v>
      </c>
      <c r="L40" s="7">
        <f t="shared" ref="L40:L41" si="3">C40*1.4</f>
        <v>0.50909090909090904</v>
      </c>
      <c r="M40" s="7">
        <f t="shared" ref="M40:M41" si="4">C40*0.6</f>
        <v>0.21818181818181817</v>
      </c>
      <c r="N40" s="7" t="e">
        <f t="shared" ref="N40:N41" si="5">IF(AND(D40&gt;M40,D40&lt;L40),1,0.1)</f>
        <v>#DIV/0!</v>
      </c>
    </row>
    <row r="41" spans="2:14" x14ac:dyDescent="0.25">
      <c r="B41" s="7" t="s">
        <v>108</v>
      </c>
      <c r="C41" s="7">
        <f t="shared" si="0"/>
        <v>0.45454545454545453</v>
      </c>
      <c r="D41" s="7" t="e">
        <f>'Input Processing'!D9/'Input Processing'!$D$4</f>
        <v>#DIV/0!</v>
      </c>
      <c r="E41" s="25" t="s">
        <v>19</v>
      </c>
      <c r="F41" s="7" t="e">
        <f>IF((ABS(ROUNDDOWN((D41-C41)/(1/('Input Processing'!$D$4)),0)))=0,"",IF(D41&lt;&gt;C41,(IF(D41&gt;C41,"Remove","Add")&amp;" "&amp;ABS(ROUNDDOWN((D41-C41)/(1/('Input Processing'!$D$4)),0))),"")&amp;IF(D41&lt;&gt;C41," Super Premium",""))</f>
        <v>#DIV/0!</v>
      </c>
      <c r="I41" s="7">
        <f t="shared" si="1"/>
        <v>0.54545454545454541</v>
      </c>
      <c r="J41" s="7">
        <f t="shared" si="2"/>
        <v>0.36363636363636365</v>
      </c>
      <c r="K41" s="7" t="e">
        <f>IF(AND(D41&gt;J41,D41&lt;I41),2,0.1)</f>
        <v>#DIV/0!</v>
      </c>
      <c r="L41" s="7">
        <f t="shared" si="3"/>
        <v>0.63636363636363635</v>
      </c>
      <c r="M41" s="7">
        <f t="shared" si="4"/>
        <v>0.27272727272727271</v>
      </c>
      <c r="N41" s="7" t="e">
        <f t="shared" si="5"/>
        <v>#DIV/0!</v>
      </c>
    </row>
    <row r="42" spans="2:14" x14ac:dyDescent="0.25">
      <c r="K42" s="23" t="e">
        <f>SUM(K39:K41,N39:N41)/9</f>
        <v>#DIV/0!</v>
      </c>
    </row>
    <row r="43" spans="2:14" x14ac:dyDescent="0.25">
      <c r="B43" s="6" t="s">
        <v>75</v>
      </c>
      <c r="C43" s="18" t="s">
        <v>4</v>
      </c>
      <c r="D43" s="18" t="s">
        <v>3</v>
      </c>
      <c r="E43" s="18" t="s">
        <v>109</v>
      </c>
    </row>
    <row r="44" spans="2:14" x14ac:dyDescent="0.25">
      <c r="B44" s="7" t="s">
        <v>22</v>
      </c>
      <c r="C44" s="7">
        <f>D14</f>
        <v>3</v>
      </c>
      <c r="D44" s="7">
        <f>'Input Processing'!D12</f>
        <v>0</v>
      </c>
      <c r="E44" s="7">
        <f>C44-D44</f>
        <v>3</v>
      </c>
      <c r="F44" s="25" t="s">
        <v>22</v>
      </c>
      <c r="G44" s="7" t="str">
        <f t="shared" ref="G44:G47" si="6">IF(E44&gt;=1,"Add"&amp;" "&amp;ABS(E44)&amp;" "&amp;B44,IF(E44&lt;=-1,"Remove"&amp;" "&amp;ABS(E44)&amp;" "&amp;B44,""))</f>
        <v>Add 3 Juniper</v>
      </c>
    </row>
    <row r="45" spans="2:14" x14ac:dyDescent="0.25">
      <c r="B45" s="7" t="s">
        <v>23</v>
      </c>
      <c r="C45" s="7">
        <f t="shared" ref="C45:C49" si="7">D15</f>
        <v>3</v>
      </c>
      <c r="D45" s="7">
        <f>'Input Processing'!D13</f>
        <v>0</v>
      </c>
      <c r="E45" s="7">
        <f t="shared" ref="E45:E49" si="8">C45-D45</f>
        <v>3</v>
      </c>
      <c r="F45" s="25" t="s">
        <v>23</v>
      </c>
      <c r="G45" s="7" t="str">
        <f t="shared" si="6"/>
        <v>Add 3 Citrus</v>
      </c>
    </row>
    <row r="46" spans="2:14" x14ac:dyDescent="0.25">
      <c r="B46" s="7" t="s">
        <v>24</v>
      </c>
      <c r="C46" s="7">
        <f t="shared" si="7"/>
        <v>0</v>
      </c>
      <c r="D46" s="7">
        <f>'Input Processing'!D14</f>
        <v>0</v>
      </c>
      <c r="E46" s="7">
        <f t="shared" si="8"/>
        <v>0</v>
      </c>
      <c r="F46" s="25" t="s">
        <v>24</v>
      </c>
      <c r="G46" s="7" t="str">
        <f t="shared" si="6"/>
        <v/>
      </c>
    </row>
    <row r="47" spans="2:14" x14ac:dyDescent="0.25">
      <c r="B47" s="7" t="s">
        <v>25</v>
      </c>
      <c r="C47" s="7">
        <f t="shared" si="7"/>
        <v>1</v>
      </c>
      <c r="D47" s="7">
        <f>'Input Processing'!D15</f>
        <v>0</v>
      </c>
      <c r="E47" s="7">
        <f t="shared" si="8"/>
        <v>1</v>
      </c>
      <c r="F47" s="25" t="s">
        <v>25</v>
      </c>
      <c r="G47" s="7" t="str">
        <f t="shared" si="6"/>
        <v>Add 1 Herbaceous</v>
      </c>
    </row>
    <row r="48" spans="2:14" x14ac:dyDescent="0.25">
      <c r="B48" s="7" t="s">
        <v>26</v>
      </c>
      <c r="C48" s="7">
        <f t="shared" si="7"/>
        <v>1</v>
      </c>
      <c r="D48" s="7">
        <f>'Input Processing'!D16</f>
        <v>0</v>
      </c>
      <c r="E48" s="7">
        <f t="shared" si="8"/>
        <v>1</v>
      </c>
      <c r="F48" s="25" t="s">
        <v>26</v>
      </c>
      <c r="G48" s="7" t="str">
        <f>IF(E48&gt;=1,"Add"&amp;" "&amp;ABS(E48)&amp;" "&amp;B48,IF(E48&lt;=-1,"Remove"&amp;" "&amp;ABS(E48)&amp;" "&amp;B48,""))</f>
        <v>Add 1 Floral</v>
      </c>
    </row>
    <row r="49" spans="2:24" x14ac:dyDescent="0.25">
      <c r="B49" s="7" t="s">
        <v>27</v>
      </c>
      <c r="C49" s="7">
        <f t="shared" si="7"/>
        <v>3</v>
      </c>
      <c r="D49" s="7">
        <f>'Input Processing'!D17</f>
        <v>0</v>
      </c>
      <c r="E49" s="7">
        <f t="shared" si="8"/>
        <v>3</v>
      </c>
      <c r="F49" s="25" t="s">
        <v>27</v>
      </c>
      <c r="G49" s="7" t="str">
        <f>IF(E49&gt;=1,"Add"&amp;" "&amp;ABS(E49)&amp;" "&amp;B49,IF(E49&lt;=-1,"Remove"&amp;" "&amp;ABS(E49)&amp;" "&amp;B49,""))</f>
        <v>Add 3 Fruit</v>
      </c>
    </row>
    <row r="51" spans="2:24" s="9" customFormat="1" x14ac:dyDescent="0.25"/>
    <row r="53" spans="2:24" x14ac:dyDescent="0.25">
      <c r="B53" s="10" t="s">
        <v>112</v>
      </c>
    </row>
    <row r="54" spans="2:24" x14ac:dyDescent="0.25">
      <c r="B54" s="10"/>
    </row>
    <row r="55" spans="2:24" x14ac:dyDescent="0.25">
      <c r="B55" s="6" t="s">
        <v>74</v>
      </c>
      <c r="L55" s="6" t="s">
        <v>75</v>
      </c>
    </row>
    <row r="56" spans="2:24" x14ac:dyDescent="0.25">
      <c r="H56" s="16">
        <v>1</v>
      </c>
      <c r="J56" s="16">
        <v>2</v>
      </c>
      <c r="K56" s="26" t="s">
        <v>113</v>
      </c>
      <c r="L56" s="7" t="s">
        <v>22</v>
      </c>
      <c r="M56" s="7" t="str">
        <f>IF(E44&gt;0,"JU",0)</f>
        <v>JU</v>
      </c>
      <c r="N56" s="7">
        <f>IF(E44&lt;0,"JU",0)</f>
        <v>0</v>
      </c>
      <c r="Q56" s="16">
        <v>1</v>
      </c>
      <c r="S56" s="16">
        <v>2</v>
      </c>
      <c r="V56" s="16">
        <v>1</v>
      </c>
      <c r="X56" s="16">
        <v>2</v>
      </c>
    </row>
    <row r="57" spans="2:24" x14ac:dyDescent="0.25">
      <c r="B57" s="19" t="s">
        <v>106</v>
      </c>
      <c r="C57" s="30" t="e">
        <f>IF(D39-C39&lt;0,"S","0")</f>
        <v>#DIV/0!</v>
      </c>
      <c r="D57" s="30" t="e">
        <f>IF(D39-C39&gt;0,"S","0")</f>
        <v>#DIV/0!</v>
      </c>
      <c r="E57" s="31" t="s">
        <v>15</v>
      </c>
      <c r="F57" s="24"/>
      <c r="G57" s="27" t="s">
        <v>110</v>
      </c>
      <c r="H57" s="7" t="e">
        <f>VLOOKUP(C60,B57:E59,4,FALSE)</f>
        <v>#DIV/0!</v>
      </c>
      <c r="J57" s="7" t="e">
        <f>VLOOKUP(IF(C61=C60,C62,C61),B57:E59,4,FALSE)</f>
        <v>#DIV/0!</v>
      </c>
      <c r="K57" s="26" t="s">
        <v>114</v>
      </c>
      <c r="L57" s="7" t="s">
        <v>23</v>
      </c>
      <c r="M57" s="7" t="str">
        <f>IF(E45&gt;0,"CI",0)</f>
        <v>CI</v>
      </c>
      <c r="N57" s="7">
        <f>IF(E45&lt;0,"CI",0)</f>
        <v>0</v>
      </c>
      <c r="P57" s="27" t="s">
        <v>110</v>
      </c>
      <c r="Q57" s="7" t="str">
        <f>VLOOKUP(M62,K56:L61,2,FALSE)</f>
        <v>Juniper</v>
      </c>
      <c r="S57" s="7" t="str">
        <f>VLOOKUP(IF(M63=M62,M64,M62),K56:L61,2,FALSE)</f>
        <v>Juniper</v>
      </c>
      <c r="U57" s="6" t="s">
        <v>118</v>
      </c>
      <c r="V57" s="7" t="e">
        <f>Q57&amp;H57</f>
        <v>#DIV/0!</v>
      </c>
      <c r="X57" s="7" t="e">
        <f t="shared" ref="X57" si="9">S57&amp;J57</f>
        <v>#DIV/0!</v>
      </c>
    </row>
    <row r="58" spans="2:24" x14ac:dyDescent="0.25">
      <c r="B58" s="19" t="s">
        <v>107</v>
      </c>
      <c r="C58" s="30" t="e">
        <f>IF(D40-C40&lt;0,"P","0")</f>
        <v>#DIV/0!</v>
      </c>
      <c r="D58" s="30" t="e">
        <f>IF(D40-C40&gt;0,"P","0")</f>
        <v>#DIV/0!</v>
      </c>
      <c r="E58" s="31" t="s">
        <v>17</v>
      </c>
      <c r="F58" s="24"/>
      <c r="G58" s="27" t="s">
        <v>111</v>
      </c>
      <c r="H58" s="7" t="e">
        <f>VLOOKUP(D60,B57:E59,4,FALSE)</f>
        <v>#DIV/0!</v>
      </c>
      <c r="J58" s="7" t="e">
        <f>VLOOKUP(IF(D61=D60,D62,D61),B57:E59,4,FALSE)</f>
        <v>#DIV/0!</v>
      </c>
      <c r="K58" s="26" t="s">
        <v>108</v>
      </c>
      <c r="L58" s="7" t="s">
        <v>24</v>
      </c>
      <c r="M58" s="7">
        <f>IF(E46&gt;0,"SP",0)</f>
        <v>0</v>
      </c>
      <c r="N58" s="7">
        <f>IF(E46&lt;0,"SP",0)</f>
        <v>0</v>
      </c>
      <c r="P58" s="27" t="s">
        <v>111</v>
      </c>
      <c r="Q58" s="7" t="e">
        <f>VLOOKUP(N62,K56:L61,2,FALSE)</f>
        <v>#N/A</v>
      </c>
      <c r="S58" s="7" t="e">
        <f>VLOOKUP(IF(N62=N63,N64,N63),K56:L61,2,FALSE)</f>
        <v>#N/A</v>
      </c>
      <c r="U58" s="6" t="s">
        <v>119</v>
      </c>
      <c r="V58" s="7" t="e">
        <f>Q58&amp;H58</f>
        <v>#N/A</v>
      </c>
      <c r="X58" s="7" t="e">
        <f>S58&amp;J58</f>
        <v>#N/A</v>
      </c>
    </row>
    <row r="59" spans="2:24" x14ac:dyDescent="0.25">
      <c r="B59" s="19" t="s">
        <v>108</v>
      </c>
      <c r="C59" s="32" t="e">
        <f>IF(D41-C41&lt;0,"SP","0")</f>
        <v>#DIV/0!</v>
      </c>
      <c r="D59" s="32" t="e">
        <f>IF(D41-C41&gt;0,"SP","0")</f>
        <v>#DIV/0!</v>
      </c>
      <c r="E59" s="31" t="s">
        <v>19</v>
      </c>
      <c r="F59" s="24"/>
      <c r="K59" s="26" t="s">
        <v>115</v>
      </c>
      <c r="L59" s="7" t="s">
        <v>25</v>
      </c>
      <c r="M59" s="7" t="str">
        <f>IF(E47&gt;0,"HE",0)</f>
        <v>HE</v>
      </c>
      <c r="N59" s="7">
        <f>IF(E47&lt;0,"HE",0)</f>
        <v>0</v>
      </c>
    </row>
    <row r="60" spans="2:24" x14ac:dyDescent="0.25">
      <c r="B60" s="28">
        <v>1</v>
      </c>
      <c r="C60" s="33" t="e">
        <f>IF(C59="0",IF(C58="0",C57,C58),C59)</f>
        <v>#DIV/0!</v>
      </c>
      <c r="D60" s="34" t="e">
        <f>IF(D59="0",IF(D58="0",D57,D58),D59)</f>
        <v>#DIV/0!</v>
      </c>
      <c r="E60" s="31"/>
      <c r="F60" s="12"/>
      <c r="G60" s="12"/>
      <c r="K60" s="26" t="s">
        <v>116</v>
      </c>
      <c r="L60" s="7" t="s">
        <v>26</v>
      </c>
      <c r="M60" s="7" t="str">
        <f>IF(E48&gt;0,"FL",0)</f>
        <v>FL</v>
      </c>
      <c r="N60" s="7">
        <f>IF(E48&lt;0,"FL",0)</f>
        <v>0</v>
      </c>
    </row>
    <row r="61" spans="2:24" x14ac:dyDescent="0.25">
      <c r="B61" s="29">
        <v>2</v>
      </c>
      <c r="C61" s="31" t="e">
        <f>IF(C58="0",IF(C57="0",C59,C57),C58)</f>
        <v>#DIV/0!</v>
      </c>
      <c r="D61" s="35" t="s">
        <v>108</v>
      </c>
      <c r="E61" s="19"/>
      <c r="G61" s="7" t="e">
        <f>IF((LEN(C60)+LEN(C61)+LEN(C62)+LEN(D60)+LEN(D61)+LEN(D62)+(LEN(M62)+LEN(M63)+LEN(M64)+LEN(N62)+LEN(N63)+LEN(N64)))=12,"0","1")</f>
        <v>#DIV/0!</v>
      </c>
      <c r="K61" s="26" t="s">
        <v>117</v>
      </c>
      <c r="L61" s="7" t="s">
        <v>27</v>
      </c>
      <c r="M61" s="7" t="str">
        <f>IF(E49&gt;0,"FR",0)</f>
        <v>FR</v>
      </c>
      <c r="N61" s="7">
        <f>IF(E49&lt;0,"FR",0)</f>
        <v>0</v>
      </c>
    </row>
    <row r="62" spans="2:24" x14ac:dyDescent="0.25">
      <c r="B62" s="38">
        <v>3</v>
      </c>
      <c r="C62" s="36" t="e">
        <f>IF(C57="0",IF(C59="0",C58,C59),C57)</f>
        <v>#DIV/0!</v>
      </c>
      <c r="D62" s="37" t="e">
        <f>IF(D57="0",IF(D59="0",D58,D59),D57)</f>
        <v>#DIV/0!</v>
      </c>
      <c r="E62" s="19"/>
      <c r="L62" s="28">
        <v>1</v>
      </c>
      <c r="M62" s="33" t="str">
        <f>IF(M56&lt;&gt;0,M56,IF(M57&lt;&gt;0,M57,IF(M58&lt;&gt;0,M58,IF(M59&lt;&gt;0,M59,IF(M60&lt;&gt;0,M60,IF(M61&lt;&gt;0,M61,0))))))</f>
        <v>JU</v>
      </c>
      <c r="N62" s="34">
        <f>IF(N56&lt;&gt;0,N56,IF(N57&lt;&gt;0,N57,IF(N58&lt;&gt;0,N58,IF(N59&lt;&gt;0,N59,IF(N60&lt;&gt;0,N60,IF(N61&lt;&gt;0,N61,0))))))</f>
        <v>0</v>
      </c>
    </row>
    <row r="63" spans="2:24" x14ac:dyDescent="0.25">
      <c r="L63" s="29">
        <v>2</v>
      </c>
      <c r="M63" s="31" t="str">
        <f>IF(M61&lt;&gt;0,M61,IF(M60&lt;&gt;0,M60,IF(M59&lt;&gt;0,M59,IF(M58&lt;&gt;0,M58,IF(M57&lt;&gt;0,M57,IF(M56&lt;&gt;0,M56,0))))))</f>
        <v>FR</v>
      </c>
      <c r="N63" s="35">
        <f>IF(N61&lt;&gt;0,N61,IF(N60&lt;&gt;0,N60,IF(N59&lt;&gt;0,N59,IF(N58&lt;&gt;0,N58,IF(N57&lt;&gt;0,N57,IF(N56&lt;&gt;0,N56,0))))))</f>
        <v>0</v>
      </c>
    </row>
    <row r="64" spans="2:24" x14ac:dyDescent="0.25">
      <c r="B64" s="6"/>
      <c r="L64" s="38">
        <v>3</v>
      </c>
      <c r="M64" s="36" t="str">
        <f>IF(M61&lt;&gt;0,M61,IF(M56&lt;&gt;0,M56,IF(M60&lt;&gt;0,M60,IF(M57&lt;&gt;0,M57,IF(M59&lt;&gt;0,M59,IF(M58&lt;&gt;0,M58,0))))))</f>
        <v>FR</v>
      </c>
      <c r="N64" s="37">
        <f>IF(N61&lt;&gt;0,N61,IF(N56&lt;&gt;0,N56,IF(N60&lt;&gt;0,N60,IF(N57&lt;&gt;0,N57,IF(N59&lt;&gt;0,N59,IF(N58&lt;&gt;0,N58,0))))))</f>
        <v>0</v>
      </c>
    </row>
    <row r="65" spans="2:19" x14ac:dyDescent="0.25">
      <c r="B65" s="6"/>
    </row>
    <row r="66" spans="2:19" x14ac:dyDescent="0.25">
      <c r="B66" s="6"/>
    </row>
    <row r="67" spans="2:19" x14ac:dyDescent="0.25">
      <c r="C67" s="7">
        <v>1</v>
      </c>
      <c r="D67" s="7">
        <v>2</v>
      </c>
      <c r="E67" s="7">
        <v>3</v>
      </c>
      <c r="F67" s="7">
        <v>4</v>
      </c>
      <c r="G67" s="7">
        <v>5</v>
      </c>
      <c r="H67" s="7">
        <v>6</v>
      </c>
      <c r="I67" s="7">
        <v>7</v>
      </c>
      <c r="J67" s="7">
        <v>8</v>
      </c>
      <c r="K67" s="7">
        <v>9</v>
      </c>
      <c r="L67" s="7">
        <v>10</v>
      </c>
      <c r="M67" s="7">
        <v>11</v>
      </c>
      <c r="N67" s="7">
        <v>12</v>
      </c>
      <c r="O67" s="7">
        <v>13</v>
      </c>
      <c r="P67" s="7">
        <v>14</v>
      </c>
      <c r="Q67" s="7">
        <v>15</v>
      </c>
      <c r="R67" s="7">
        <v>16</v>
      </c>
    </row>
    <row r="68" spans="2:19" x14ac:dyDescent="0.25">
      <c r="B68" s="6"/>
      <c r="C68" s="7" t="e">
        <f>VLOOKUP($V$57,Recommendations!E1:F18,2,FALSE)</f>
        <v>#DIV/0!</v>
      </c>
      <c r="D68" s="7" t="e">
        <f>VLOOKUP($V$57,Recommendations!G1:H18,2,FALSE)</f>
        <v>#DIV/0!</v>
      </c>
      <c r="E68" s="7" t="e">
        <f>VLOOKUP($V$57,Recommendations!I1:J18,2,FALSE)</f>
        <v>#DIV/0!</v>
      </c>
      <c r="F68" s="7" t="e">
        <f>VLOOKUP($V$57,Recommendations!K1:L18,2,FALSE)</f>
        <v>#DIV/0!</v>
      </c>
      <c r="G68" s="7" t="e">
        <f>VLOOKUP($V$57,Recommendations!M1:N18,2,FALSE)</f>
        <v>#DIV/0!</v>
      </c>
      <c r="H68" s="7" t="e">
        <f>VLOOKUP($V$57,Recommendations!O1:P18,2,FALSE)</f>
        <v>#DIV/0!</v>
      </c>
      <c r="I68" s="7" t="e">
        <f>VLOOKUP($V$57,Recommendations!Q1:R18,2,FALSE)</f>
        <v>#DIV/0!</v>
      </c>
      <c r="J68" s="7" t="e">
        <f>VLOOKUP($V$57,Recommendations!S1:T18,2,FALSE)</f>
        <v>#DIV/0!</v>
      </c>
      <c r="K68" s="7" t="e">
        <f>VLOOKUP($V$57,Recommendations!U1:V18,2,FALSE)</f>
        <v>#DIV/0!</v>
      </c>
      <c r="L68" s="7" t="e">
        <f>VLOOKUP($V$57,Recommendations!W1:X18,2,FALSE)</f>
        <v>#DIV/0!</v>
      </c>
      <c r="M68" s="7" t="e">
        <f>VLOOKUP($V$57,Recommendations!Y1:Z18,2,FALSE)</f>
        <v>#DIV/0!</v>
      </c>
      <c r="N68" s="7" t="e">
        <f>VLOOKUP($V$57,Recommendations!AA1:AB18,2,FALSE)</f>
        <v>#DIV/0!</v>
      </c>
      <c r="O68" s="7" t="e">
        <f>VLOOKUP($V$57,Recommendations!AC1:AD18,2,FALSE)</f>
        <v>#DIV/0!</v>
      </c>
      <c r="P68" s="7" t="e">
        <f>VLOOKUP($V$57,Recommendations!AE1:AF18,2,FALSE)</f>
        <v>#DIV/0!</v>
      </c>
      <c r="Q68" s="7" t="e">
        <f>VLOOKUP($V$57,Recommendations!AG1:AH18,2,FALSE)</f>
        <v>#DIV/0!</v>
      </c>
      <c r="R68" s="7" t="e">
        <f>VLOOKUP($V$57,Recommendations!AI1:AJ18,2,FALSE)</f>
        <v>#DIV/0!</v>
      </c>
    </row>
    <row r="69" spans="2:19" ht="15.75" thickBot="1" x14ac:dyDescent="0.3">
      <c r="C69" s="7">
        <f>COUNTIF('Input Processing'!$J$25:$J$54,C68)</f>
        <v>0</v>
      </c>
      <c r="D69" s="7">
        <f>COUNTIF('Input Processing'!$J$25:$J$54,D68)</f>
        <v>0</v>
      </c>
      <c r="E69" s="7">
        <f>COUNTIF('Input Processing'!$J$25:$J$54,E68)</f>
        <v>0</v>
      </c>
      <c r="F69" s="7">
        <f>COUNTIF('Input Processing'!$J$25:$J$54,F68)</f>
        <v>0</v>
      </c>
      <c r="G69" s="7">
        <f>COUNTIF('Input Processing'!$J$25:$J$54,G68)</f>
        <v>0</v>
      </c>
      <c r="H69" s="7">
        <f>COUNTIF('Input Processing'!$J$25:$J$54,H68)</f>
        <v>0</v>
      </c>
      <c r="I69" s="7">
        <f>COUNTIF('Input Processing'!$J$25:$J$54,I68)</f>
        <v>0</v>
      </c>
      <c r="J69" s="7">
        <f>COUNTIF('Input Processing'!$J$25:$J$54,J68)</f>
        <v>0</v>
      </c>
      <c r="K69" s="7">
        <f>COUNTIF('Input Processing'!$J$25:$J$54,K68)</f>
        <v>0</v>
      </c>
      <c r="L69" s="7">
        <f>COUNTIF('Input Processing'!$J$25:$J$54,L68)</f>
        <v>0</v>
      </c>
      <c r="M69" s="7">
        <f>COUNTIF('Input Processing'!$J$25:$J$54,M68)</f>
        <v>0</v>
      </c>
      <c r="N69" s="7">
        <f>COUNTIF('Input Processing'!$J$25:$J$54,N68)</f>
        <v>0</v>
      </c>
      <c r="O69" s="7">
        <f>COUNTIF('Input Processing'!$J$25:$J$54,O68)</f>
        <v>0</v>
      </c>
      <c r="P69" s="7">
        <f>COUNTIF('Input Processing'!$J$25:$J$54,P68)</f>
        <v>0</v>
      </c>
      <c r="Q69" s="7">
        <f>COUNTIF('Input Processing'!$J$25:$J$54,Q68)</f>
        <v>0</v>
      </c>
      <c r="R69" s="7">
        <f>COUNTIF('Input Processing'!$J$25:$J$54,R68)</f>
        <v>0</v>
      </c>
    </row>
    <row r="70" spans="2:19" ht="15.75" thickBot="1" x14ac:dyDescent="0.3">
      <c r="C70" s="11" t="e">
        <f>IF(C69=0,C68,D70)</f>
        <v>#DIV/0!</v>
      </c>
      <c r="D70" s="7" t="e">
        <f t="shared" ref="D70:R70" si="10">IF(D69=0,D68,E70)</f>
        <v>#DIV/0!</v>
      </c>
      <c r="E70" s="7" t="e">
        <f t="shared" si="10"/>
        <v>#DIV/0!</v>
      </c>
      <c r="F70" s="7" t="e">
        <f t="shared" si="10"/>
        <v>#DIV/0!</v>
      </c>
      <c r="G70" s="7" t="e">
        <f t="shared" si="10"/>
        <v>#DIV/0!</v>
      </c>
      <c r="H70" s="7" t="e">
        <f t="shared" si="10"/>
        <v>#DIV/0!</v>
      </c>
      <c r="I70" s="7" t="e">
        <f t="shared" si="10"/>
        <v>#DIV/0!</v>
      </c>
      <c r="J70" s="7" t="e">
        <f t="shared" si="10"/>
        <v>#DIV/0!</v>
      </c>
      <c r="K70" s="7" t="e">
        <f t="shared" si="10"/>
        <v>#DIV/0!</v>
      </c>
      <c r="L70" s="7" t="e">
        <f t="shared" si="10"/>
        <v>#DIV/0!</v>
      </c>
      <c r="M70" s="7" t="e">
        <f t="shared" si="10"/>
        <v>#DIV/0!</v>
      </c>
      <c r="N70" s="7" t="e">
        <f t="shared" si="10"/>
        <v>#DIV/0!</v>
      </c>
      <c r="O70" s="7" t="e">
        <f t="shared" si="10"/>
        <v>#DIV/0!</v>
      </c>
      <c r="P70" s="7" t="e">
        <f t="shared" si="10"/>
        <v>#DIV/0!</v>
      </c>
      <c r="Q70" s="7" t="e">
        <f t="shared" si="10"/>
        <v>#DIV/0!</v>
      </c>
      <c r="R70" s="7" t="e">
        <f t="shared" si="10"/>
        <v>#DIV/0!</v>
      </c>
    </row>
    <row r="71" spans="2:19" x14ac:dyDescent="0.25">
      <c r="C71" s="7" t="e">
        <f>VLOOKUP($X$57,Recommendations!E1:F18,2,FALSE)</f>
        <v>#DIV/0!</v>
      </c>
      <c r="D71" s="7" t="e">
        <f>VLOOKUP($X$57,Recommendations!G1:H18,2,FALSE)</f>
        <v>#DIV/0!</v>
      </c>
      <c r="E71" s="7" t="e">
        <f>VLOOKUP($X$57,Recommendations!I1:J18,2,FALSE)</f>
        <v>#DIV/0!</v>
      </c>
      <c r="F71" s="7" t="e">
        <f>VLOOKUP($X$57,Recommendations!K1:L18,2,FALSE)</f>
        <v>#DIV/0!</v>
      </c>
      <c r="G71" s="7" t="e">
        <f>VLOOKUP($X$57,Recommendations!M1:N18,2,FALSE)</f>
        <v>#DIV/0!</v>
      </c>
      <c r="H71" s="7" t="e">
        <f>VLOOKUP($X$57,Recommendations!O1:P18,2,FALSE)</f>
        <v>#DIV/0!</v>
      </c>
      <c r="I71" s="7" t="e">
        <f>VLOOKUP($X$57,Recommendations!Q1:R18,2,FALSE)</f>
        <v>#DIV/0!</v>
      </c>
      <c r="J71" s="7" t="e">
        <f>VLOOKUP($X$57,Recommendations!S1:T18,2,FALSE)</f>
        <v>#DIV/0!</v>
      </c>
      <c r="K71" s="7" t="e">
        <f>VLOOKUP($X$57,Recommendations!U1:V18,2,FALSE)</f>
        <v>#DIV/0!</v>
      </c>
      <c r="L71" s="7" t="e">
        <f>VLOOKUP($X$57,Recommendations!W1:X18,2,FALSE)</f>
        <v>#DIV/0!</v>
      </c>
      <c r="M71" s="7" t="e">
        <f>VLOOKUP($X$57,Recommendations!Y1:Z18,2,FALSE)</f>
        <v>#DIV/0!</v>
      </c>
      <c r="N71" s="7" t="e">
        <f>VLOOKUP($X$57,Recommendations!AA1:AB18,2,FALSE)</f>
        <v>#DIV/0!</v>
      </c>
      <c r="O71" s="7" t="e">
        <f>VLOOKUP($X$57,Recommendations!AC1:AD18,2,FALSE)</f>
        <v>#DIV/0!</v>
      </c>
      <c r="P71" s="7" t="e">
        <f>VLOOKUP($X$57,Recommendations!AE1:AF18,2,FALSE)</f>
        <v>#DIV/0!</v>
      </c>
      <c r="Q71" s="7" t="e">
        <f>VLOOKUP($X$57,Recommendations!AG1:AH18,2,FALSE)</f>
        <v>#DIV/0!</v>
      </c>
      <c r="R71" s="7" t="e">
        <f>VLOOKUP($X$57,Recommendations!AI1:AJ18,2,FALSE)</f>
        <v>#DIV/0!</v>
      </c>
    </row>
    <row r="72" spans="2:19" ht="15.75" thickBot="1" x14ac:dyDescent="0.3">
      <c r="C72" s="7">
        <f>COUNTIF('Input Processing'!$J$25:$J$54,C71)</f>
        <v>0</v>
      </c>
      <c r="D72" s="7">
        <f>COUNTIF('Input Processing'!$J$25:$J$54,D71)</f>
        <v>0</v>
      </c>
      <c r="E72" s="7">
        <f>COUNTIF('Input Processing'!$J$25:$J$54,E71)</f>
        <v>0</v>
      </c>
      <c r="F72" s="7">
        <f>COUNTIF('Input Processing'!$J$25:$J$54,F71)</f>
        <v>0</v>
      </c>
      <c r="G72" s="7">
        <f>COUNTIF('Input Processing'!$J$25:$J$54,G71)</f>
        <v>0</v>
      </c>
      <c r="H72" s="7">
        <f>COUNTIF('Input Processing'!$J$25:$J$54,H71)</f>
        <v>0</v>
      </c>
      <c r="I72" s="7">
        <f>COUNTIF('Input Processing'!$J$25:$J$54,I71)</f>
        <v>0</v>
      </c>
      <c r="J72" s="7">
        <f>COUNTIF('Input Processing'!$J$25:$J$54,J71)</f>
        <v>0</v>
      </c>
      <c r="K72" s="7">
        <f>COUNTIF('Input Processing'!$J$25:$J$54,K71)</f>
        <v>0</v>
      </c>
      <c r="L72" s="7">
        <f>COUNTIF('Input Processing'!$J$25:$J$54,L71)</f>
        <v>0</v>
      </c>
      <c r="M72" s="7">
        <f>COUNTIF('Input Processing'!$J$25:$J$54,M71)</f>
        <v>0</v>
      </c>
      <c r="N72" s="7">
        <f>COUNTIF('Input Processing'!$J$25:$J$54,N71)</f>
        <v>0</v>
      </c>
      <c r="O72" s="7">
        <f>COUNTIF('Input Processing'!$J$25:$J$54,O71)</f>
        <v>0</v>
      </c>
      <c r="P72" s="7">
        <f>COUNTIF('Input Processing'!$J$25:$J$54,P71)</f>
        <v>0</v>
      </c>
      <c r="Q72" s="7">
        <f>COUNTIF('Input Processing'!$J$25:$J$54,Q71)</f>
        <v>0</v>
      </c>
      <c r="R72" s="7">
        <f>COUNTIF('Input Processing'!$J$25:$J$54,R71)</f>
        <v>0</v>
      </c>
    </row>
    <row r="73" spans="2:19" ht="15.75" thickBot="1" x14ac:dyDescent="0.3">
      <c r="C73" s="11" t="e">
        <f>IF(C72=0,C71,D73)</f>
        <v>#DIV/0!</v>
      </c>
      <c r="D73" s="7" t="e">
        <f t="shared" ref="D73:R73" si="11">IF(D72=0,D71,E73)</f>
        <v>#DIV/0!</v>
      </c>
      <c r="E73" s="7" t="e">
        <f t="shared" si="11"/>
        <v>#DIV/0!</v>
      </c>
      <c r="F73" s="7" t="e">
        <f t="shared" si="11"/>
        <v>#DIV/0!</v>
      </c>
      <c r="G73" s="7" t="e">
        <f t="shared" si="11"/>
        <v>#DIV/0!</v>
      </c>
      <c r="H73" s="7" t="e">
        <f t="shared" si="11"/>
        <v>#DIV/0!</v>
      </c>
      <c r="I73" s="7" t="e">
        <f t="shared" si="11"/>
        <v>#DIV/0!</v>
      </c>
      <c r="J73" s="7" t="e">
        <f t="shared" si="11"/>
        <v>#DIV/0!</v>
      </c>
      <c r="K73" s="7" t="e">
        <f t="shared" si="11"/>
        <v>#DIV/0!</v>
      </c>
      <c r="L73" s="7" t="e">
        <f t="shared" si="11"/>
        <v>#DIV/0!</v>
      </c>
      <c r="M73" s="7" t="e">
        <f t="shared" si="11"/>
        <v>#DIV/0!</v>
      </c>
      <c r="N73" s="7" t="e">
        <f t="shared" si="11"/>
        <v>#DIV/0!</v>
      </c>
      <c r="O73" s="7" t="e">
        <f t="shared" si="11"/>
        <v>#DIV/0!</v>
      </c>
      <c r="P73" s="7" t="e">
        <f t="shared" si="11"/>
        <v>#DIV/0!</v>
      </c>
      <c r="Q73" s="7" t="e">
        <f t="shared" si="11"/>
        <v>#DIV/0!</v>
      </c>
      <c r="R73" s="7" t="e">
        <f t="shared" si="11"/>
        <v>#DIV/0!</v>
      </c>
    </row>
    <row r="74" spans="2:19" x14ac:dyDescent="0.25">
      <c r="C74" s="7">
        <f>COUNTIF($C$78,C73)</f>
        <v>1</v>
      </c>
      <c r="D74" s="7">
        <f t="shared" ref="D74:S74" si="12">COUNTIF($C$78,D73)</f>
        <v>1</v>
      </c>
      <c r="E74" s="7">
        <f t="shared" si="12"/>
        <v>1</v>
      </c>
      <c r="F74" s="7">
        <f t="shared" si="12"/>
        <v>1</v>
      </c>
      <c r="G74" s="7">
        <f t="shared" si="12"/>
        <v>1</v>
      </c>
      <c r="H74" s="7">
        <f t="shared" si="12"/>
        <v>1</v>
      </c>
      <c r="I74" s="7">
        <f t="shared" si="12"/>
        <v>1</v>
      </c>
      <c r="J74" s="7">
        <f t="shared" si="12"/>
        <v>1</v>
      </c>
      <c r="K74" s="7">
        <f t="shared" si="12"/>
        <v>1</v>
      </c>
      <c r="L74" s="7">
        <f t="shared" si="12"/>
        <v>1</v>
      </c>
      <c r="M74" s="7">
        <f t="shared" si="12"/>
        <v>1</v>
      </c>
      <c r="N74" s="7">
        <f t="shared" si="12"/>
        <v>1</v>
      </c>
      <c r="O74" s="7">
        <f t="shared" si="12"/>
        <v>1</v>
      </c>
      <c r="P74" s="7">
        <f t="shared" si="12"/>
        <v>1</v>
      </c>
      <c r="Q74" s="7">
        <f t="shared" si="12"/>
        <v>1</v>
      </c>
      <c r="R74" s="7">
        <f t="shared" si="12"/>
        <v>1</v>
      </c>
      <c r="S74" s="7">
        <f t="shared" si="12"/>
        <v>0</v>
      </c>
    </row>
    <row r="75" spans="2:19" x14ac:dyDescent="0.25">
      <c r="C75" s="7" t="e">
        <f>IF(C74=0,$C$71,D73)</f>
        <v>#DIV/0!</v>
      </c>
      <c r="D75" s="7" t="e">
        <f t="shared" ref="D75:S75" si="13">IF(D74=0,$C$71,E73)</f>
        <v>#DIV/0!</v>
      </c>
      <c r="E75" s="7" t="e">
        <f t="shared" si="13"/>
        <v>#DIV/0!</v>
      </c>
      <c r="F75" s="7" t="e">
        <f t="shared" si="13"/>
        <v>#DIV/0!</v>
      </c>
      <c r="G75" s="7" t="e">
        <f t="shared" si="13"/>
        <v>#DIV/0!</v>
      </c>
      <c r="H75" s="7" t="e">
        <f t="shared" si="13"/>
        <v>#DIV/0!</v>
      </c>
      <c r="I75" s="7" t="e">
        <f t="shared" si="13"/>
        <v>#DIV/0!</v>
      </c>
      <c r="J75" s="7" t="e">
        <f t="shared" si="13"/>
        <v>#DIV/0!</v>
      </c>
      <c r="K75" s="7" t="e">
        <f t="shared" si="13"/>
        <v>#DIV/0!</v>
      </c>
      <c r="L75" s="7" t="e">
        <f t="shared" si="13"/>
        <v>#DIV/0!</v>
      </c>
      <c r="M75" s="7" t="e">
        <f t="shared" si="13"/>
        <v>#DIV/0!</v>
      </c>
      <c r="N75" s="7" t="e">
        <f t="shared" si="13"/>
        <v>#DIV/0!</v>
      </c>
      <c r="O75" s="7" t="e">
        <f t="shared" si="13"/>
        <v>#DIV/0!</v>
      </c>
      <c r="P75" s="7" t="e">
        <f t="shared" si="13"/>
        <v>#DIV/0!</v>
      </c>
      <c r="Q75" s="7" t="e">
        <f t="shared" si="13"/>
        <v>#DIV/0!</v>
      </c>
      <c r="R75" s="7">
        <f t="shared" si="13"/>
        <v>0</v>
      </c>
      <c r="S75" s="7" t="e">
        <f t="shared" si="13"/>
        <v>#DIV/0!</v>
      </c>
    </row>
    <row r="76" spans="2:19" x14ac:dyDescent="0.25">
      <c r="B76" s="6" t="s">
        <v>126</v>
      </c>
    </row>
    <row r="77" spans="2:19" x14ac:dyDescent="0.25">
      <c r="B77" s="7" t="s">
        <v>118</v>
      </c>
    </row>
    <row r="78" spans="2:19" x14ac:dyDescent="0.25">
      <c r="B78" s="7">
        <v>1</v>
      </c>
      <c r="C78" s="7" t="e">
        <f>C70</f>
        <v>#DIV/0!</v>
      </c>
      <c r="F78" s="7" t="s">
        <v>63</v>
      </c>
      <c r="G78" s="39">
        <f>IF('Input Processing'!D4&gt;D6,1-(('Input Processing'!D4-D6)/D6),'Input Processing'!D4/D6)</f>
        <v>0</v>
      </c>
    </row>
    <row r="79" spans="2:19" x14ac:dyDescent="0.25">
      <c r="B79" s="7">
        <v>2</v>
      </c>
      <c r="C79" s="7" t="e">
        <f>IF(C74&lt;&gt;0,C75,C73)</f>
        <v>#DIV/0!</v>
      </c>
      <c r="F79" s="7" t="s">
        <v>74</v>
      </c>
      <c r="G79" s="39" t="e">
        <f>K42</f>
        <v>#DIV/0!</v>
      </c>
    </row>
    <row r="80" spans="2:19" x14ac:dyDescent="0.25">
      <c r="F80" s="7" t="s">
        <v>32</v>
      </c>
      <c r="G80" s="39">
        <f>R27</f>
        <v>0</v>
      </c>
    </row>
    <row r="81" spans="2:26" x14ac:dyDescent="0.25">
      <c r="B81" s="7" t="s">
        <v>119</v>
      </c>
      <c r="F81" s="7" t="s">
        <v>29</v>
      </c>
      <c r="G81" s="39" t="e">
        <f>((G78*(1/3))+(G79*(1/3))+(G80*(1/3)))</f>
        <v>#DIV/0!</v>
      </c>
    </row>
    <row r="82" spans="2:26" x14ac:dyDescent="0.25">
      <c r="B82" s="7">
        <v>1</v>
      </c>
      <c r="C82" s="7" t="e">
        <f>VLOOKUP(V58,'Input Processing'!I25:J54,2,FALSE)</f>
        <v>#N/A</v>
      </c>
    </row>
    <row r="83" spans="2:26" x14ac:dyDescent="0.25">
      <c r="B83" s="7">
        <v>2</v>
      </c>
      <c r="C83" s="7" t="e">
        <f>VLOOKUP(X58,'Input Processing'!I25:J54,2,FALSE)</f>
        <v>#N/A</v>
      </c>
    </row>
    <row r="84" spans="2:26" s="9" customFormat="1" x14ac:dyDescent="0.25"/>
    <row r="86" spans="2:26" x14ac:dyDescent="0.25">
      <c r="B86" s="6" t="s">
        <v>130</v>
      </c>
      <c r="K86" s="7" t="str">
        <f>VLOOKUP($H$110,Recommendations!E1:F18,2,FALSE)</f>
        <v>🍋 (£££)｜Plymouth Gin</v>
      </c>
      <c r="L86" s="7" t="str">
        <f>VLOOKUP($H$110,Recommendations!G1:H18,2,FALSE)</f>
        <v xml:space="preserve">🍋 (£££)｜Edinburgh Gin </v>
      </c>
      <c r="M86" s="7" t="str">
        <f>VLOOKUP($H$110,Recommendations!I1:J18,2,FALSE)</f>
        <v>🍋 (£££)｜Cotswolds  Gin</v>
      </c>
      <c r="N86" s="7" t="str">
        <f>VLOOKUP($H$110,Recommendations!K1:L18,2,FALSE)</f>
        <v>🍋 (£££)｜Chase GB Gin</v>
      </c>
      <c r="O86" s="7" t="str">
        <f>VLOOKUP($H$110,Recommendations!M1:N18,2,FALSE)</f>
        <v>🍋 (£££)｜Liverpool Gin</v>
      </c>
      <c r="P86" s="7" t="str">
        <f>VLOOKUP($H$110,Recommendations!O1:P18,2,FALSE)</f>
        <v>🍋 (£££)｜No.3 Gin</v>
      </c>
      <c r="Q86" s="7" t="e">
        <f>VLOOKUP($H$110,Recommendations!Q1:R18,2,FALSE)</f>
        <v>#N/A</v>
      </c>
      <c r="R86" s="7" t="str">
        <f>VLOOKUP($H$110,Recommendations!S1:T18,2,FALSE)</f>
        <v xml:space="preserve">🍋 (£££)｜6 Oclock Gin </v>
      </c>
      <c r="S86" s="7" t="str">
        <f>VLOOKUP($H$110,Recommendations!U1:V18,2,FALSE)</f>
        <v>🍋 (£££)｜City of London Gin</v>
      </c>
      <c r="T86" s="7" t="str">
        <f>VLOOKUP($H$110,Recommendations!W1:X18,2,FALSE)</f>
        <v>🍋 (£££)｜Thomas Dakin Gin</v>
      </c>
      <c r="U86" s="7" t="e">
        <f>VLOOKUP($H$110,Recommendations!Y1:Z18,2,FALSE)</f>
        <v>#N/A</v>
      </c>
      <c r="V86" s="7" t="e">
        <f>VLOOKUP($H$110,Recommendations!AA1:AB18,2,FALSE)</f>
        <v>#N/A</v>
      </c>
      <c r="W86" s="7" t="e">
        <f>VLOOKUP($H$110,Recommendations!AC1:AD18,2,FALSE)</f>
        <v>#N/A</v>
      </c>
      <c r="X86" s="7" t="e">
        <f>VLOOKUP($H$110,Recommendations!AE1:AF18,2,FALSE)</f>
        <v>#N/A</v>
      </c>
      <c r="Y86" s="7" t="e">
        <f>VLOOKUP($H$110,Recommendations!AG1:AH18,2,FALSE)</f>
        <v>#N/A</v>
      </c>
      <c r="Z86" s="7" t="e">
        <f>VLOOKUP($H$110,Recommendations!AI1:AJ18,2,FALSE)</f>
        <v>#N/A</v>
      </c>
    </row>
    <row r="87" spans="2:26" ht="15.75" thickBot="1" x14ac:dyDescent="0.3">
      <c r="E87" s="40" t="s">
        <v>3</v>
      </c>
      <c r="F87" s="40" t="s">
        <v>4</v>
      </c>
      <c r="G87" s="40" t="s">
        <v>64</v>
      </c>
      <c r="H87" s="7" t="s">
        <v>131</v>
      </c>
      <c r="K87" s="7">
        <f>COUNTIF('Input Processing'!$J$25:$J$54,K86)</f>
        <v>0</v>
      </c>
      <c r="L87" s="7">
        <f>COUNTIF('Input Processing'!$J$25:$J$54,L86)</f>
        <v>0</v>
      </c>
      <c r="M87" s="7">
        <f>COUNTIF('Input Processing'!$J$25:$J$54,M86)</f>
        <v>0</v>
      </c>
      <c r="N87" s="7">
        <f>COUNTIF('Input Processing'!$J$25:$J$54,N86)</f>
        <v>0</v>
      </c>
      <c r="O87" s="7">
        <f>COUNTIF('Input Processing'!$J$25:$J$54,O86)</f>
        <v>0</v>
      </c>
      <c r="P87" s="7">
        <f>COUNTIF('Input Processing'!$J$25:$J$54,P86)</f>
        <v>0</v>
      </c>
      <c r="Q87" s="7">
        <f>COUNTIF('Input Processing'!$J$25:$J$54,Q86)</f>
        <v>0</v>
      </c>
      <c r="R87" s="7">
        <f>COUNTIF('Input Processing'!$J$25:$J$54,R86)</f>
        <v>0</v>
      </c>
      <c r="S87" s="7">
        <f>COUNTIF('Input Processing'!$J$25:$J$54,S86)</f>
        <v>0</v>
      </c>
      <c r="T87" s="7">
        <f>COUNTIF('Input Processing'!$J$25:$J$54,T86)</f>
        <v>0</v>
      </c>
      <c r="U87" s="7">
        <f>COUNTIF('Input Processing'!$J$25:$J$54,U86)</f>
        <v>0</v>
      </c>
      <c r="V87" s="7">
        <f>COUNTIF('Input Processing'!$J$25:$J$54,V86)</f>
        <v>0</v>
      </c>
      <c r="W87" s="7">
        <f>COUNTIF('Input Processing'!$J$25:$J$54,W86)</f>
        <v>0</v>
      </c>
      <c r="X87" s="7">
        <f>COUNTIF('Input Processing'!$J$25:$J$54,X86)</f>
        <v>0</v>
      </c>
      <c r="Y87" s="7">
        <f>COUNTIF('Input Processing'!$J$25:$J$54,Y86)</f>
        <v>0</v>
      </c>
      <c r="Z87" s="7">
        <f>COUNTIF('Input Processing'!$J$25:$J$54,Z86)</f>
        <v>0</v>
      </c>
    </row>
    <row r="88" spans="2:26" ht="15.75" thickBot="1" x14ac:dyDescent="0.3">
      <c r="B88" s="7" t="s">
        <v>35</v>
      </c>
      <c r="E88" s="7">
        <f>VLOOKUP(B88,'Input Processing'!$G$3:$J$20,4,FALSE)</f>
        <v>0</v>
      </c>
      <c r="F88" s="7">
        <f>J21</f>
        <v>1</v>
      </c>
      <c r="G88" s="7">
        <f>F88-E88</f>
        <v>1</v>
      </c>
      <c r="H88" s="7" t="str">
        <f>IF(G88&gt;0,B88,"")</f>
        <v>FloralSuper Premium</v>
      </c>
      <c r="I88" s="7" t="str">
        <f>IF(G88&lt;0,B88,"")</f>
        <v/>
      </c>
      <c r="K88" s="11" t="str">
        <f>IF(K87=0,K86,IF(L87=0,L86,IF(M87=0,M86,IF(N87=0,N86,IF(O87=0,O86,IF(P87=0,P86,IF(Q87=0,Q86,IF(R87=0,R86,IF(S87=0,S86,IF(T87=0,T86,IF(U87=0,U86,IF(V87=0,V86,IF(W87=0,W86,IF(X87=0,X86,IF(Y87=0,Y86,IF(Z87=0,Z86,"None"))))))))))))))))</f>
        <v>🍋 (£££)｜Plymouth Gin</v>
      </c>
      <c r="L88" s="11" t="str">
        <f>IF(L87=0,L86,IF(M87=0,M86,IF(N87=0,N86,IF(O87=0,O86,IF(P87=0,P86,IF(Q87=0,Q86,IF(R87=0,R86,IF(S87=0,S86,IF(T87=0,T86,IF(U87=0,U86,IF(V87=0,V86,IF(W87=0,W86,IF(X87=0,X86,IF(Y87=0,Y86,IF(Z87=0,Z86,"None")))))))))))))))</f>
        <v xml:space="preserve">🍋 (£££)｜Edinburgh Gin </v>
      </c>
      <c r="M88" s="11" t="str">
        <f>IF(M87=0,M86,IF(N87=0,N86,IF(O87=0,O86,IF(P87=0,P86,IF(Q87=0,Q86,IF(R87=0,R86,IF(S87=0,S86,IF(T87=0,T86,IF(U87=0,U86,IF(V87=0,V86,IF(W87=0,W86,IF(X87=0,X86,IF(Y87=0,Y86,IF(Z87=0,Z86,"None"))))))))))))))</f>
        <v>🍋 (£££)｜Cotswolds  Gin</v>
      </c>
      <c r="N88" s="11" t="str">
        <f>IF(N87=0,N86,IF(O87=0,O86,IF(P87=0,P86,IF(Q87=0,Q86,IF(R87=0,R86,IF(S87=0,S86,IF(T87=0,T86,IF(U87=0,U86,IF(V87=0,V86,IF(W87=0,W86,IF(X87=0,X86,IF(Y87=0,Y86,IF(Z87=0,Z86,"None")))))))))))))</f>
        <v>🍋 (£££)｜Chase GB Gin</v>
      </c>
      <c r="O88" s="11" t="str">
        <f>IF(O87=0,O86,IF(P87=0,P86,IF(Q87=0,Q86,IF(R87=0,R86,IF(S87=0,S86,IF(T87=0,T86,IF(U87=0,U86,IF(V87=0,V86,IF(W87=0,W86,IF(X87=0,X86,IF(Y87=0,Y86,IF(Z87=0,Z86,"None"))))))))))))</f>
        <v>🍋 (£££)｜Liverpool Gin</v>
      </c>
      <c r="P88" s="11" t="str">
        <f>IF(P87=0,P86,IF(Q87=0,Q86,IF(R87=0,R86,IF(S87=0,S86,IF(T87=0,T86,IF(U87=0,U86,IF(V87=0,V86,IF(W87=0,W86,IF(X87=0,X86,IF(Y87=0,Y86,IF(Z87=0,Z86,"None")))))))))))</f>
        <v>🍋 (£££)｜No.3 Gin</v>
      </c>
      <c r="Q88" s="11" t="e">
        <f>IF(Q87=0,Q86,IF(R87=0,R86,IF(S87=0,S86,IF(T87=0,T86,IF(U87=0,U86,IF(V87=0,V86,IF(W87=0,W86,IF(X87=0,X86,IF(Y87=0,Y86,IF(Z87=0,Z86,"None"))))))))))</f>
        <v>#N/A</v>
      </c>
      <c r="R88" s="11" t="str">
        <f>IF(R87=0,R86,IF(S87=0,S86,IF(T87=0,T86,IF(U87=0,U86,IF(V87=0,V86,IF(W87=0,W86,IF(X87=0,X86,IF(Y87=0,Y86,IF(Z87=0,Z86,"None")))))))))</f>
        <v xml:space="preserve">🍋 (£££)｜6 Oclock Gin </v>
      </c>
      <c r="S88" s="11" t="str">
        <f>IF(S87=0,S86,IF(T87=0,T86,IF(U87=0,U86,IF(V87=0,V86,IF(W87=0,W86,IF(X87=0,X86,IF(Y87=0,Y86,IF(Z87=0,Z86,"None"))))))))</f>
        <v>🍋 (£££)｜City of London Gin</v>
      </c>
      <c r="T88" s="11" t="str">
        <f>IF(T87=0,T86,IF(U87=0,U86,IF(V87=0,V86,IF(W87=0,W86,IF(X87=0,X86,IF(Y87=0,Y86,IF(Z87=0,Z86,"None")))))))</f>
        <v>🍋 (£££)｜Thomas Dakin Gin</v>
      </c>
      <c r="U88" s="11" t="e">
        <f>IF(U87=0,U86,IF(V87=0,V86,IF(W87=0,W86,IF(X87=0,X86,IF(Y87=0,Y86,IF(Z87=0,Z86,"None"))))))</f>
        <v>#N/A</v>
      </c>
      <c r="V88" s="11" t="e">
        <f>IF(V87=0,V86,IF(W87=0,W86,IF(X87=0,X86,IF(Y87=0,Y86,IF(Z87=0,Z86,"None")))))</f>
        <v>#N/A</v>
      </c>
      <c r="W88" s="11" t="e">
        <f>IF(W87=0,W86,IF(X87=0,X86,IF(Y87=0,Y86,IF(Z87=0,Z86,"None"))))</f>
        <v>#N/A</v>
      </c>
      <c r="X88" s="11" t="e">
        <f>IF(X87=0,X86,IF(Y87=0,Y86,IF(Z87=0,Z86,"None")))</f>
        <v>#N/A</v>
      </c>
      <c r="Y88" s="11" t="e">
        <f>IF(Y87=0,Y86,IF(Z87=0,Z86,"None"))</f>
        <v>#N/A</v>
      </c>
      <c r="Z88" s="11" t="e">
        <f>IF(Z87=0,Z86,"None")</f>
        <v>#N/A</v>
      </c>
    </row>
    <row r="89" spans="2:26" x14ac:dyDescent="0.25">
      <c r="B89" s="7" t="s">
        <v>36</v>
      </c>
      <c r="E89" s="7">
        <f>VLOOKUP(B89,'Input Processing'!$G$3:$J$20,4,FALSE)</f>
        <v>0</v>
      </c>
      <c r="F89" s="7">
        <f>J17</f>
        <v>1</v>
      </c>
      <c r="G89" s="7">
        <f t="shared" ref="G89:G105" si="14">F89-E89</f>
        <v>1</v>
      </c>
      <c r="H89" s="7" t="str">
        <f t="shared" ref="H89:H105" si="15">IF(G89&gt;0,B89,"")</f>
        <v>JuniperSuper Premium</v>
      </c>
      <c r="I89" s="7" t="str">
        <f t="shared" ref="I89:I105" si="16">IF(G89&lt;0,B89,"")</f>
        <v/>
      </c>
      <c r="K89" s="7" t="str">
        <f>IF(J88=K88,"",K88)</f>
        <v>🍋 (£££)｜Plymouth Gin</v>
      </c>
      <c r="L89" s="7" t="str">
        <f>IF(K88=L88,"",L88)</f>
        <v xml:space="preserve">🍋 (£££)｜Edinburgh Gin </v>
      </c>
      <c r="M89" s="7" t="str">
        <f t="shared" ref="M89:Z89" si="17">IF(L88=M88,"",M88)</f>
        <v>🍋 (£££)｜Cotswolds  Gin</v>
      </c>
      <c r="N89" s="7" t="str">
        <f t="shared" si="17"/>
        <v>🍋 (£££)｜Chase GB Gin</v>
      </c>
      <c r="O89" s="7" t="str">
        <f t="shared" si="17"/>
        <v>🍋 (£££)｜Liverpool Gin</v>
      </c>
      <c r="P89" s="7" t="str">
        <f t="shared" si="17"/>
        <v>🍋 (£££)｜No.3 Gin</v>
      </c>
      <c r="Q89" s="7" t="e">
        <f t="shared" si="17"/>
        <v>#N/A</v>
      </c>
      <c r="R89" s="7" t="e">
        <f t="shared" si="17"/>
        <v>#N/A</v>
      </c>
      <c r="S89" s="7" t="str">
        <f t="shared" si="17"/>
        <v>🍋 (£££)｜City of London Gin</v>
      </c>
      <c r="T89" s="7" t="str">
        <f t="shared" si="17"/>
        <v>🍋 (£££)｜Thomas Dakin Gin</v>
      </c>
      <c r="U89" s="7" t="e">
        <f t="shared" si="17"/>
        <v>#N/A</v>
      </c>
      <c r="V89" s="7" t="e">
        <f t="shared" si="17"/>
        <v>#N/A</v>
      </c>
      <c r="W89" s="7" t="e">
        <f t="shared" si="17"/>
        <v>#N/A</v>
      </c>
      <c r="X89" s="7" t="e">
        <f t="shared" si="17"/>
        <v>#N/A</v>
      </c>
      <c r="Y89" s="7" t="e">
        <f t="shared" si="17"/>
        <v>#N/A</v>
      </c>
      <c r="Z89" s="7" t="e">
        <f t="shared" si="17"/>
        <v>#N/A</v>
      </c>
    </row>
    <row r="90" spans="2:26" x14ac:dyDescent="0.25">
      <c r="B90" s="7" t="s">
        <v>37</v>
      </c>
      <c r="E90" s="7">
        <f>VLOOKUP(B90,'Input Processing'!$G$3:$J$20,4,FALSE)</f>
        <v>0</v>
      </c>
      <c r="F90" s="7">
        <f>J16</f>
        <v>1</v>
      </c>
      <c r="G90" s="7">
        <f t="shared" si="14"/>
        <v>1</v>
      </c>
      <c r="H90" s="7" t="str">
        <f t="shared" si="15"/>
        <v>FruitPremium</v>
      </c>
      <c r="I90" s="7" t="str">
        <f t="shared" si="16"/>
        <v/>
      </c>
      <c r="K90" s="7" t="str">
        <f>IF(K87=0,K86,IF(L87=0,L86,IF(M87=0,M86,IF(N87=0,N86,IF(O87=0,O86,IF(P87=0,P86,IF(Q87=0,Q86,IF(R87=0,R86,IF(S87=0,S86,IF(T87=0,T86,IF(U87=0,U86,IF(V87=0,V86,IF(W87=0,W86,IF(X87=0,X86,IF(Y87=0,Y86,IF(Z87=0,Z86,"None"))))))))))))))))</f>
        <v>🍋 (£££)｜Plymouth Gin</v>
      </c>
      <c r="L90" s="7" t="str">
        <f>IF(L89="",M89,IF(L87=0,L86,IF(M87=0,M86,IF(N87=0,N86,IF(O87=0,O86,IF(P87=0,P86,IF(Q87=0,Q86,IF(R87=0,R86,IF(S87=0,S86,IF(T87=0,T86,IF(U87=0,U86,IF(V87=0,V86,IF(W87=0,W86,IF(X87=0,X86,IF(Y87=0,Y86,IF(Z87=0,Z86,"None"))))))))))))))))</f>
        <v xml:space="preserve">🍋 (£££)｜Edinburgh Gin </v>
      </c>
    </row>
    <row r="91" spans="2:26" x14ac:dyDescent="0.25">
      <c r="B91" s="7" t="s">
        <v>38</v>
      </c>
      <c r="E91" s="7">
        <f>VLOOKUP(B91,'Input Processing'!$G$3:$J$20,4,FALSE)</f>
        <v>0</v>
      </c>
      <c r="F91" s="7">
        <f>J5</f>
        <v>0</v>
      </c>
      <c r="G91" s="7">
        <f t="shared" si="14"/>
        <v>0</v>
      </c>
      <c r="H91" s="7" t="str">
        <f t="shared" si="15"/>
        <v/>
      </c>
      <c r="I91" s="7" t="str">
        <f t="shared" si="16"/>
        <v/>
      </c>
      <c r="K91" s="7" t="str">
        <f>VLOOKUP($H$106,Recommendations!E1:F18,2,FALSE)</f>
        <v>✿  (£££)｜Hendrick's Gin</v>
      </c>
      <c r="L91" s="7" t="str">
        <f>VLOOKUP($H$106,Recommendations!G1:H18,2,FALSE)</f>
        <v>✿ (£££)｜The Botanist</v>
      </c>
      <c r="M91" s="7" t="str">
        <f>VLOOKUP($H$106,Recommendations!I1:J18,2,FALSE)</f>
        <v>✿ (£££)｜BLOOM Original Gin</v>
      </c>
      <c r="N91" s="7" t="str">
        <f>VLOOKUP($H$106,Recommendations!K1:L18,2,FALSE)</f>
        <v>✿ (£££)｜Caorunn Gin</v>
      </c>
      <c r="O91" s="7" t="str">
        <f>VLOOKUP($H$106,Recommendations!M1:N18,2,FALSE)</f>
        <v xml:space="preserve">✿  (£££)｜Aviation Gin </v>
      </c>
      <c r="P91" s="7" t="str">
        <f>VLOOKUP($H$106,Recommendations!O1:P18,2,FALSE)</f>
        <v>✿ (£££)｜Hendrick's Midsummer Solstice</v>
      </c>
      <c r="Q91" s="7" t="e">
        <f>VLOOKUP($H$106,Recommendations!Q1:R18,2,FALSE)</f>
        <v>#N/A</v>
      </c>
      <c r="R91" s="7" t="str">
        <f>VLOOKUP($H$106,Recommendations!S1:T18,2,FALSE)</f>
        <v>✿ (£££)｜Tarquin's Gin</v>
      </c>
      <c r="S91" s="7" t="str">
        <f>VLOOKUP($H$106,Recommendations!U1:V18,2,FALSE)</f>
        <v xml:space="preserve">✿ (£££)｜Edinburgh Seaside Gin </v>
      </c>
      <c r="T91" s="7" t="e">
        <f>VLOOKUP($H$106,Recommendations!W1:X18,2,FALSE)</f>
        <v>#N/A</v>
      </c>
      <c r="U91" s="7" t="e">
        <f>VLOOKUP($H$106,Recommendations!Y1:Z18,2,FALSE)</f>
        <v>#N/A</v>
      </c>
      <c r="V91" s="7" t="e">
        <f>VLOOKUP($H$106,Recommendations!AA1:AB18,2,FALSE)</f>
        <v>#N/A</v>
      </c>
      <c r="W91" s="7" t="e">
        <f>VLOOKUP($H$106,Recommendations!AC1:AD18,2,FALSE)</f>
        <v>#N/A</v>
      </c>
      <c r="X91" s="7" t="e">
        <f>VLOOKUP($H$106,Recommendations!AE1:AF18,2,FALSE)</f>
        <v>#N/A</v>
      </c>
      <c r="Y91" s="7" t="e">
        <f>VLOOKUP($H$106,Recommendations!AG1:AH18,2,FALSE)</f>
        <v>#N/A</v>
      </c>
      <c r="Z91" s="7" t="e">
        <f>VLOOKUP($H$106,Recommendations!AI1:AJ18,2,FALSE)</f>
        <v>#N/A</v>
      </c>
    </row>
    <row r="92" spans="2:26" ht="15.75" thickBot="1" x14ac:dyDescent="0.3">
      <c r="B92" s="7" t="s">
        <v>39</v>
      </c>
      <c r="E92" s="7">
        <f>VLOOKUP(B92,'Input Processing'!$G$3:$J$20,4,FALSE)</f>
        <v>0</v>
      </c>
      <c r="F92" s="7">
        <f>J15</f>
        <v>0</v>
      </c>
      <c r="G92" s="7">
        <f t="shared" si="14"/>
        <v>0</v>
      </c>
      <c r="H92" s="7" t="str">
        <f t="shared" si="15"/>
        <v/>
      </c>
      <c r="I92" s="7" t="str">
        <f t="shared" si="16"/>
        <v/>
      </c>
      <c r="K92" s="7">
        <f>COUNTIF('Input Processing'!$N$25:$N$54,K91)</f>
        <v>0</v>
      </c>
      <c r="L92" s="7">
        <f>COUNTIF('Input Processing'!$N$25:$N$54,L91)</f>
        <v>0</v>
      </c>
      <c r="M92" s="7">
        <f>COUNTIF('Input Processing'!$N$25:$N$54,M91)</f>
        <v>0</v>
      </c>
      <c r="N92" s="7">
        <f>COUNTIF('Input Processing'!$N$25:$N$54,N91)</f>
        <v>0</v>
      </c>
      <c r="O92" s="7">
        <f>COUNTIF('Input Processing'!$N$25:$N$54,O91)</f>
        <v>0</v>
      </c>
      <c r="P92" s="7">
        <f>COUNTIF('Input Processing'!$N$25:$N$54,P91)</f>
        <v>0</v>
      </c>
      <c r="Q92" s="7">
        <f>COUNTIF('Input Processing'!$N$25:$N$54,Q91)</f>
        <v>0</v>
      </c>
      <c r="R92" s="7">
        <f>COUNTIF('Input Processing'!$N$25:$N$54,R91)</f>
        <v>0</v>
      </c>
      <c r="S92" s="7">
        <f>COUNTIF('Input Processing'!$N$25:$N$54,S91)</f>
        <v>0</v>
      </c>
      <c r="T92" s="7">
        <f>COUNTIF('Input Processing'!$N$25:$N$54,T91)</f>
        <v>0</v>
      </c>
      <c r="U92" s="7">
        <f>COUNTIF('Input Processing'!$N$25:$N$54,U91)</f>
        <v>0</v>
      </c>
      <c r="V92" s="7">
        <f>COUNTIF('Input Processing'!$N$25:$N$54,V91)</f>
        <v>0</v>
      </c>
      <c r="W92" s="7">
        <f>COUNTIF('Input Processing'!$N$25:$N$54,W91)</f>
        <v>0</v>
      </c>
      <c r="X92" s="7">
        <f>COUNTIF('Input Processing'!$N$25:$N$54,X91)</f>
        <v>0</v>
      </c>
      <c r="Y92" s="7">
        <f>COUNTIF('Input Processing'!$N$25:$N$54,Y91)</f>
        <v>0</v>
      </c>
      <c r="Z92" s="7">
        <f>COUNTIF('Input Processing'!$N$25:$N$54,Z91)</f>
        <v>0</v>
      </c>
    </row>
    <row r="93" spans="2:26" ht="15.75" thickBot="1" x14ac:dyDescent="0.3">
      <c r="B93" s="7" t="s">
        <v>40</v>
      </c>
      <c r="E93" s="7">
        <f>VLOOKUP(B93,'Input Processing'!$G$3:$J$20,4,FALSE)</f>
        <v>0</v>
      </c>
      <c r="F93" s="7">
        <f>J11</f>
        <v>2</v>
      </c>
      <c r="G93" s="7">
        <f t="shared" si="14"/>
        <v>2</v>
      </c>
      <c r="H93" s="7" t="str">
        <f t="shared" si="15"/>
        <v>JuniperPremium</v>
      </c>
      <c r="I93" s="7" t="str">
        <f t="shared" si="16"/>
        <v/>
      </c>
      <c r="K93" s="11" t="str">
        <f>IF(K92=0,K91,IF(L92=0,L91,IF(M92=0,M91,IF(N92=0,N91,IF(O92=0,O91,IF(P92=0,P91,IF(Q92=0,Q91,IF(R92=0,R91,IF(S92=0,S91,IF(T92=0,T91,IF(U92=0,U91,IF(V92=0,V91,IF(W92=0,W91,IF(X92=0,X91,IF(Y92=0,Y91,IF(Z92=0,Z91,"None"))))))))))))))))</f>
        <v>✿  (£££)｜Hendrick's Gin</v>
      </c>
      <c r="L93" s="11" t="str">
        <f>IF(L92=0,L91,IF(M92=0,M91,IF(N92=0,N91,IF(O92=0,O91,IF(P92=0,P91,IF(Q92=0,Q91,IF(R92=0,R91,IF(S92=0,S91,IF(T92=0,T91,IF(U92=0,U91,IF(V92=0,V91,IF(W92=0,W91,IF(X92=0,X91,IF(Y92=0,Y91,IF(Z92=0,Z91,"None")))))))))))))))</f>
        <v>✿ (£££)｜The Botanist</v>
      </c>
      <c r="M93" s="11" t="str">
        <f>IF(M92=0,M91,IF(N92=0,N91,IF(O92=0,O91,IF(P92=0,P91,IF(Q92=0,Q91,IF(R92=0,R91,IF(S92=0,S91,IF(T92=0,T91,IF(U92=0,U91,IF(V92=0,V91,IF(W92=0,W91,IF(X92=0,X91,IF(Y92=0,Y91,IF(Z92=0,Z91,"None"))))))))))))))</f>
        <v>✿ (£££)｜BLOOM Original Gin</v>
      </c>
      <c r="N93" s="11" t="str">
        <f>IF(N92=0,N91,IF(O92=0,O91,IF(P92=0,P91,IF(Q92=0,Q91,IF(R92=0,R91,IF(S92=0,S91,IF(T92=0,T91,IF(U92=0,U91,IF(V92=0,V91,IF(W92=0,W91,IF(X92=0,X91,IF(Y92=0,Y91,IF(Z92=0,Z91,"None")))))))))))))</f>
        <v>✿ (£££)｜Caorunn Gin</v>
      </c>
      <c r="O93" s="11" t="str">
        <f>IF(O92=0,O91,IF(P92=0,P91,IF(Q92=0,Q91,IF(R92=0,R91,IF(S92=0,S91,IF(T92=0,T91,IF(U92=0,U91,IF(V92=0,V91,IF(W92=0,W91,IF(X92=0,X91,IF(Y92=0,Y91,IF(Z92=0,Z91,"None"))))))))))))</f>
        <v xml:space="preserve">✿  (£££)｜Aviation Gin </v>
      </c>
      <c r="P93" s="11" t="str">
        <f>IF(P92=0,P91,IF(Q92=0,Q91,IF(R92=0,R91,IF(S92=0,S91,IF(T92=0,T91,IF(U92=0,U91,IF(V92=0,V91,IF(W92=0,W91,IF(X92=0,X91,IF(Y92=0,Y91,IF(Z92=0,Z91,"None")))))))))))</f>
        <v>✿ (£££)｜Hendrick's Midsummer Solstice</v>
      </c>
      <c r="Q93" s="11" t="e">
        <f>IF(Q92=0,Q91,IF(R92=0,R91,IF(S92=0,S91,IF(T92=0,T91,IF(U92=0,U91,IF(V92=0,V91,IF(W92=0,W91,IF(X92=0,X91,IF(Y92=0,Y91,IF(Z92=0,Z91,"None"))))))))))</f>
        <v>#N/A</v>
      </c>
      <c r="R93" s="11" t="str">
        <f>IF(R92=0,R91,IF(S92=0,S91,IF(T92=0,T91,IF(U92=0,U91,IF(V92=0,V91,IF(W92=0,W91,IF(X92=0,X91,IF(Y92=0,Y91,IF(Z92=0,Z91,"None")))))))))</f>
        <v>✿ (£££)｜Tarquin's Gin</v>
      </c>
      <c r="S93" s="11" t="str">
        <f>IF(S92=0,S91,IF(T92=0,T91,IF(U92=0,U91,IF(V92=0,V91,IF(W92=0,W91,IF(X92=0,X91,IF(Y92=0,Y91,IF(Z92=0,Z91,"None"))))))))</f>
        <v xml:space="preserve">✿ (£££)｜Edinburgh Seaside Gin </v>
      </c>
      <c r="T93" s="11" t="e">
        <f>IF(T92=0,T91,IF(U92=0,U91,IF(V92=0,V91,IF(W92=0,W91,IF(X92=0,X91,IF(Y92=0,Y91,IF(Z92=0,Z91,"None")))))))</f>
        <v>#N/A</v>
      </c>
      <c r="U93" s="11" t="e">
        <f>IF(U92=0,U91,IF(V92=0,V91,IF(W92=0,W91,IF(X92=0,X91,IF(Y92=0,Y91,IF(Z92=0,Z91,"None"))))))</f>
        <v>#N/A</v>
      </c>
      <c r="V93" s="11" t="e">
        <f>IF(V92=0,V91,IF(W92=0,W91,IF(X92=0,X91,IF(Y92=0,Y91,IF(Z92=0,Z91,"None")))))</f>
        <v>#N/A</v>
      </c>
      <c r="W93" s="11" t="e">
        <f>IF(W92=0,W91,IF(X92=0,X91,IF(Y92=0,Y91,IF(Z92=0,Z91,"None"))))</f>
        <v>#N/A</v>
      </c>
      <c r="X93" s="11" t="e">
        <f>IF(X92=0,X91,IF(Y92=0,Y91,IF(Z92=0,Z91,"None")))</f>
        <v>#N/A</v>
      </c>
      <c r="Y93" s="11" t="e">
        <f>IF(Y92=0,Y91,IF(Z92=0,Z91,"None"))</f>
        <v>#N/A</v>
      </c>
      <c r="Z93" s="11" t="e">
        <f>IF(Z92=0,Z91,"None")</f>
        <v>#N/A</v>
      </c>
    </row>
    <row r="94" spans="2:26" x14ac:dyDescent="0.25">
      <c r="B94" s="7" t="s">
        <v>41</v>
      </c>
      <c r="E94" s="7">
        <f>VLOOKUP(B94,'Input Processing'!$G$3:$J$20,4,FALSE)</f>
        <v>0</v>
      </c>
      <c r="F94" s="7">
        <f>J12</f>
        <v>1</v>
      </c>
      <c r="G94" s="7">
        <f t="shared" si="14"/>
        <v>1</v>
      </c>
      <c r="H94" s="7" t="str">
        <f t="shared" si="15"/>
        <v>CitrusPremium</v>
      </c>
      <c r="I94" s="7" t="str">
        <f t="shared" si="16"/>
        <v/>
      </c>
      <c r="K94" s="7" t="str">
        <f>IF(J93=K93,"",K93)</f>
        <v>✿  (£££)｜Hendrick's Gin</v>
      </c>
      <c r="L94" s="7" t="str">
        <f>IF(K93=L93,"",L93)</f>
        <v>✿ (£££)｜The Botanist</v>
      </c>
      <c r="M94" s="7" t="str">
        <f t="shared" ref="M94:Z94" si="18">IF(L93=M93,"",M93)</f>
        <v>✿ (£££)｜BLOOM Original Gin</v>
      </c>
      <c r="N94" s="7" t="str">
        <f t="shared" si="18"/>
        <v>✿ (£££)｜Caorunn Gin</v>
      </c>
      <c r="O94" s="7" t="str">
        <f t="shared" si="18"/>
        <v xml:space="preserve">✿  (£££)｜Aviation Gin </v>
      </c>
      <c r="P94" s="7" t="str">
        <f t="shared" si="18"/>
        <v>✿ (£££)｜Hendrick's Midsummer Solstice</v>
      </c>
      <c r="Q94" s="7" t="e">
        <f t="shared" si="18"/>
        <v>#N/A</v>
      </c>
      <c r="R94" s="7" t="e">
        <f t="shared" si="18"/>
        <v>#N/A</v>
      </c>
      <c r="S94" s="7" t="str">
        <f t="shared" si="18"/>
        <v xml:space="preserve">✿ (£££)｜Edinburgh Seaside Gin </v>
      </c>
      <c r="T94" s="7" t="e">
        <f t="shared" si="18"/>
        <v>#N/A</v>
      </c>
      <c r="U94" s="7" t="e">
        <f t="shared" si="18"/>
        <v>#N/A</v>
      </c>
      <c r="V94" s="7" t="e">
        <f t="shared" si="18"/>
        <v>#N/A</v>
      </c>
      <c r="W94" s="7" t="e">
        <f t="shared" si="18"/>
        <v>#N/A</v>
      </c>
      <c r="X94" s="7" t="e">
        <f t="shared" si="18"/>
        <v>#N/A</v>
      </c>
      <c r="Y94" s="7" t="e">
        <f t="shared" si="18"/>
        <v>#N/A</v>
      </c>
      <c r="Z94" s="7" t="e">
        <f t="shared" si="18"/>
        <v>#N/A</v>
      </c>
    </row>
    <row r="95" spans="2:26" x14ac:dyDescent="0.25">
      <c r="B95" s="7" t="s">
        <v>42</v>
      </c>
      <c r="E95" s="7">
        <f>VLOOKUP(B95,'Input Processing'!$G$3:$J$20,4,FALSE)</f>
        <v>0</v>
      </c>
      <c r="F95" s="7">
        <f>J22</f>
        <v>1</v>
      </c>
      <c r="G95" s="7">
        <f t="shared" si="14"/>
        <v>1</v>
      </c>
      <c r="H95" s="7" t="str">
        <f t="shared" si="15"/>
        <v>FruitSuper Premium</v>
      </c>
      <c r="I95" s="7" t="str">
        <f t="shared" si="16"/>
        <v/>
      </c>
      <c r="K95" s="7" t="str">
        <f>IF(K92=0,K91,IF(L92=0,L91,IF(M92=0,M91,IF(N92=0,N91,IF(O92=0,O91,IF(P92=0,P91,IF(Q92=0,Q91,IF(R92=0,R91,IF(S92=0,S91,IF(T92=0,T91,IF(U92=0,U91,IF(V92=0,V91,IF(W92=0,W91,IF(X92=0,X91,IF(Y92=0,Y91,IF(Z92=0,Z91,"None"))))))))))))))))</f>
        <v>✿  (£££)｜Hendrick's Gin</v>
      </c>
      <c r="L95" s="7" t="str">
        <f>IF(L94="",M94,IF(L92=0,L91,IF(M92=0,M91,IF(N92=0,N91,IF(O92=0,O91,IF(P92=0,P91,IF(Q92=0,Q91,IF(R92=0,R91,IF(S92=0,S91,IF(T92=0,T91,IF(U92=0,U91,IF(V92=0,V91,IF(W92=0,W91,IF(X92=0,X91,IF(Y92=0,Y91,IF(Z92=0,Z91,"None"))))))))))))))))</f>
        <v>✿ (£££)｜The Botanist</v>
      </c>
    </row>
    <row r="96" spans="2:26" x14ac:dyDescent="0.25">
      <c r="B96" s="7" t="s">
        <v>43</v>
      </c>
      <c r="E96" s="7">
        <f>VLOOKUP(B96,'Input Processing'!$G$3:$J$20,4,FALSE)</f>
        <v>0</v>
      </c>
      <c r="F96" s="7">
        <f>J18</f>
        <v>1</v>
      </c>
      <c r="G96" s="7">
        <f t="shared" si="14"/>
        <v>1</v>
      </c>
      <c r="H96" s="7" t="str">
        <f t="shared" si="15"/>
        <v>CitrusSuper Premium</v>
      </c>
      <c r="I96" s="7" t="str">
        <f t="shared" si="16"/>
        <v/>
      </c>
    </row>
    <row r="97" spans="2:16" x14ac:dyDescent="0.25">
      <c r="B97" s="7" t="s">
        <v>44</v>
      </c>
      <c r="E97" s="7">
        <f>VLOOKUP(B97,'Input Processing'!$G$3:$J$20,4,FALSE)</f>
        <v>0</v>
      </c>
      <c r="F97" s="7">
        <f>J19</f>
        <v>0</v>
      </c>
      <c r="G97" s="7">
        <f t="shared" si="14"/>
        <v>0</v>
      </c>
      <c r="H97" s="7" t="str">
        <f t="shared" si="15"/>
        <v/>
      </c>
      <c r="I97" s="7" t="str">
        <f t="shared" si="16"/>
        <v/>
      </c>
    </row>
    <row r="98" spans="2:16" x14ac:dyDescent="0.25">
      <c r="B98" s="7" t="s">
        <v>45</v>
      </c>
      <c r="E98" s="7">
        <f>VLOOKUP(B98,'Input Processing'!$G$3:$J$20,4,FALSE)</f>
        <v>0</v>
      </c>
      <c r="F98" s="7">
        <f>J20</f>
        <v>1</v>
      </c>
      <c r="G98" s="7">
        <f t="shared" si="14"/>
        <v>1</v>
      </c>
      <c r="H98" s="7" t="str">
        <f t="shared" si="15"/>
        <v>HerbaceousSuper Premium</v>
      </c>
      <c r="I98" s="7" t="str">
        <f t="shared" si="16"/>
        <v/>
      </c>
    </row>
    <row r="99" spans="2:16" x14ac:dyDescent="0.25">
      <c r="B99" s="7" t="s">
        <v>46</v>
      </c>
      <c r="E99" s="7">
        <f>VLOOKUP(B99,'Input Processing'!$G$3:$J$20,4,FALSE)</f>
        <v>0</v>
      </c>
      <c r="F99" s="7">
        <f>J10</f>
        <v>1</v>
      </c>
      <c r="G99" s="7">
        <f t="shared" si="14"/>
        <v>1</v>
      </c>
      <c r="H99" s="7" t="str">
        <f t="shared" si="15"/>
        <v>FruitStandard</v>
      </c>
      <c r="I99" s="7" t="str">
        <f t="shared" si="16"/>
        <v/>
      </c>
      <c r="K99" s="6" t="s">
        <v>118</v>
      </c>
      <c r="O99" s="6" t="s">
        <v>119</v>
      </c>
      <c r="P99" s="6"/>
    </row>
    <row r="100" spans="2:16" x14ac:dyDescent="0.25">
      <c r="B100" s="7" t="s">
        <v>47</v>
      </c>
      <c r="E100" s="7">
        <f>VLOOKUP(B100,'Input Processing'!$G$3:$J$20,4,FALSE)</f>
        <v>0</v>
      </c>
      <c r="F100" s="7">
        <f>J14</f>
        <v>0</v>
      </c>
      <c r="G100" s="7">
        <f t="shared" si="14"/>
        <v>0</v>
      </c>
      <c r="H100" s="7" t="str">
        <f t="shared" si="15"/>
        <v/>
      </c>
      <c r="I100" s="7" t="str">
        <f t="shared" si="16"/>
        <v/>
      </c>
      <c r="K100" s="6">
        <v>1</v>
      </c>
      <c r="L100" s="7" t="str">
        <f>IFERROR(K95,"None")</f>
        <v>✿  (£££)｜Hendrick's Gin</v>
      </c>
      <c r="O100" s="6">
        <v>1</v>
      </c>
      <c r="P100" s="7" t="str">
        <f>IFERROR((VLOOKUP(I106,'Input Processing'!I25:J54,2,FALSE)),"None")</f>
        <v>None</v>
      </c>
    </row>
    <row r="101" spans="2:16" x14ac:dyDescent="0.25">
      <c r="B101" s="7" t="s">
        <v>48</v>
      </c>
      <c r="E101" s="7">
        <f>VLOOKUP(B101,'Input Processing'!$G$3:$J$20,4,FALSE)</f>
        <v>0</v>
      </c>
      <c r="F101" s="7">
        <f>J13</f>
        <v>0</v>
      </c>
      <c r="G101" s="7">
        <f t="shared" si="14"/>
        <v>0</v>
      </c>
      <c r="H101" s="7" t="str">
        <f t="shared" si="15"/>
        <v/>
      </c>
      <c r="I101" s="7" t="str">
        <f t="shared" si="16"/>
        <v/>
      </c>
      <c r="K101" s="6">
        <v>2</v>
      </c>
      <c r="L101" s="7" t="str">
        <f>IFERROR(K90,IFERROR(L95,"None"))</f>
        <v>🍋 (£££)｜Plymouth Gin</v>
      </c>
      <c r="O101" s="6">
        <v>2</v>
      </c>
      <c r="P101" s="7" t="str">
        <f>IFERROR((VLOOKUP(I110,'Input Processing'!I25:J54,2,FALSE)),"None")</f>
        <v>None</v>
      </c>
    </row>
    <row r="102" spans="2:16" x14ac:dyDescent="0.25">
      <c r="B102" s="7" t="s">
        <v>49</v>
      </c>
      <c r="E102" s="7">
        <f>VLOOKUP(B102,'Input Processing'!$G$3:$J$20,4,FALSE)</f>
        <v>0</v>
      </c>
      <c r="F102" s="7">
        <f>J6</f>
        <v>1</v>
      </c>
      <c r="G102" s="7">
        <f t="shared" si="14"/>
        <v>1</v>
      </c>
      <c r="H102" s="7" t="str">
        <f t="shared" si="15"/>
        <v>CitrusStandard</v>
      </c>
      <c r="I102" s="7" t="str">
        <f t="shared" si="16"/>
        <v/>
      </c>
      <c r="K102" s="6"/>
      <c r="O102" s="6"/>
    </row>
    <row r="103" spans="2:16" x14ac:dyDescent="0.25">
      <c r="B103" s="7" t="s">
        <v>50</v>
      </c>
      <c r="E103" s="7">
        <f>VLOOKUP(B103,'Input Processing'!$G$3:$J$20,4,FALSE)</f>
        <v>0</v>
      </c>
      <c r="F103" s="7">
        <f>J9</f>
        <v>0</v>
      </c>
      <c r="G103" s="7">
        <f t="shared" si="14"/>
        <v>0</v>
      </c>
      <c r="H103" s="7" t="str">
        <f t="shared" si="15"/>
        <v/>
      </c>
      <c r="I103" s="7" t="str">
        <f t="shared" si="16"/>
        <v/>
      </c>
    </row>
    <row r="104" spans="2:16" x14ac:dyDescent="0.25">
      <c r="B104" s="7" t="s">
        <v>51</v>
      </c>
      <c r="E104" s="7">
        <f>VLOOKUP(B104,'Input Processing'!$G$3:$J$20,4,FALSE)</f>
        <v>0</v>
      </c>
      <c r="F104" s="7">
        <f>J8</f>
        <v>0</v>
      </c>
      <c r="G104" s="7">
        <f t="shared" si="14"/>
        <v>0</v>
      </c>
      <c r="H104" s="7" t="str">
        <f t="shared" si="15"/>
        <v/>
      </c>
      <c r="I104" s="7" t="str">
        <f t="shared" si="16"/>
        <v/>
      </c>
    </row>
    <row r="105" spans="2:16" x14ac:dyDescent="0.25">
      <c r="B105" s="7" t="s">
        <v>52</v>
      </c>
      <c r="E105" s="7">
        <f>VLOOKUP(B105,'Input Processing'!$G$3:$J$20,4,FALSE)</f>
        <v>0</v>
      </c>
      <c r="F105" s="7">
        <f>J7</f>
        <v>0</v>
      </c>
      <c r="G105" s="7">
        <f t="shared" si="14"/>
        <v>0</v>
      </c>
      <c r="H105" s="7" t="str">
        <f t="shared" si="15"/>
        <v/>
      </c>
      <c r="I105" s="7" t="str">
        <f t="shared" si="16"/>
        <v/>
      </c>
    </row>
    <row r="106" spans="2:16" x14ac:dyDescent="0.25">
      <c r="H106" s="7" t="str">
        <f>INDEX(H88:H105,MATCH(TRUE,INDEX((H88:H105&lt;&gt;""),0),0))</f>
        <v>FloralSuper Premium</v>
      </c>
      <c r="I106" s="7" t="e">
        <f>INDEX(I88:I105,MATCH(TRUE,INDEX((I88:I105&lt;&gt;""),0),0))</f>
        <v>#N/A</v>
      </c>
    </row>
    <row r="108" spans="2:16" s="9" customFormat="1" x14ac:dyDescent="0.25"/>
    <row r="110" spans="2:16" x14ac:dyDescent="0.25">
      <c r="H110" s="7" t="str">
        <f t="shared" ref="H110:H126" si="19">IF(H88=$H$106,H111,IF(H88="",H111,H88))</f>
        <v>JuniperSuper Premium</v>
      </c>
      <c r="I110" s="7" t="e">
        <f>IF(I88=$I$106,I111,IF(I88="",I111,I88))</f>
        <v>#N/A</v>
      </c>
    </row>
    <row r="111" spans="2:16" x14ac:dyDescent="0.25">
      <c r="H111" s="7" t="str">
        <f t="shared" si="19"/>
        <v>JuniperSuper Premium</v>
      </c>
      <c r="I111" s="7" t="e">
        <f t="shared" ref="I111:I127" si="20">IF(I89=$I$106,I112,IF(I89="",I112,I89))</f>
        <v>#N/A</v>
      </c>
    </row>
    <row r="112" spans="2:16" x14ac:dyDescent="0.25">
      <c r="H112" s="7" t="str">
        <f t="shared" si="19"/>
        <v>FruitPremium</v>
      </c>
      <c r="I112" s="7" t="e">
        <f t="shared" si="20"/>
        <v>#N/A</v>
      </c>
    </row>
    <row r="113" spans="8:9" x14ac:dyDescent="0.25">
      <c r="H113" s="7" t="str">
        <f t="shared" si="19"/>
        <v>JuniperPremium</v>
      </c>
      <c r="I113" s="7" t="e">
        <f t="shared" si="20"/>
        <v>#N/A</v>
      </c>
    </row>
    <row r="114" spans="8:9" x14ac:dyDescent="0.25">
      <c r="H114" s="7" t="str">
        <f t="shared" si="19"/>
        <v>JuniperPremium</v>
      </c>
      <c r="I114" s="7" t="e">
        <f t="shared" si="20"/>
        <v>#N/A</v>
      </c>
    </row>
    <row r="115" spans="8:9" x14ac:dyDescent="0.25">
      <c r="H115" s="7" t="str">
        <f t="shared" si="19"/>
        <v>JuniperPremium</v>
      </c>
      <c r="I115" s="7" t="e">
        <f t="shared" si="20"/>
        <v>#N/A</v>
      </c>
    </row>
    <row r="116" spans="8:9" x14ac:dyDescent="0.25">
      <c r="H116" s="7" t="str">
        <f t="shared" si="19"/>
        <v>CitrusPremium</v>
      </c>
      <c r="I116" s="7" t="e">
        <f t="shared" si="20"/>
        <v>#N/A</v>
      </c>
    </row>
    <row r="117" spans="8:9" x14ac:dyDescent="0.25">
      <c r="H117" s="7" t="str">
        <f t="shared" si="19"/>
        <v>FruitSuper Premium</v>
      </c>
      <c r="I117" s="7" t="e">
        <f t="shared" si="20"/>
        <v>#N/A</v>
      </c>
    </row>
    <row r="118" spans="8:9" x14ac:dyDescent="0.25">
      <c r="H118" s="7" t="str">
        <f t="shared" si="19"/>
        <v>CitrusSuper Premium</v>
      </c>
      <c r="I118" s="7" t="e">
        <f t="shared" si="20"/>
        <v>#N/A</v>
      </c>
    </row>
    <row r="119" spans="8:9" x14ac:dyDescent="0.25">
      <c r="H119" s="7" t="str">
        <f t="shared" si="19"/>
        <v>HerbaceousSuper Premium</v>
      </c>
      <c r="I119" s="7" t="e">
        <f t="shared" si="20"/>
        <v>#N/A</v>
      </c>
    </row>
    <row r="120" spans="8:9" x14ac:dyDescent="0.25">
      <c r="H120" s="7" t="str">
        <f t="shared" si="19"/>
        <v>HerbaceousSuper Premium</v>
      </c>
      <c r="I120" s="7" t="e">
        <f t="shared" si="20"/>
        <v>#N/A</v>
      </c>
    </row>
    <row r="121" spans="8:9" x14ac:dyDescent="0.25">
      <c r="H121" s="7" t="str">
        <f t="shared" si="19"/>
        <v>FruitStandard</v>
      </c>
      <c r="I121" s="7" t="e">
        <f t="shared" si="20"/>
        <v>#N/A</v>
      </c>
    </row>
    <row r="122" spans="8:9" x14ac:dyDescent="0.25">
      <c r="H122" s="7" t="str">
        <f t="shared" si="19"/>
        <v>CitrusStandard</v>
      </c>
      <c r="I122" s="7" t="e">
        <f t="shared" si="20"/>
        <v>#N/A</v>
      </c>
    </row>
    <row r="123" spans="8:9" x14ac:dyDescent="0.25">
      <c r="H123" s="7" t="str">
        <f t="shared" si="19"/>
        <v>CitrusStandard</v>
      </c>
      <c r="I123" s="7" t="e">
        <f t="shared" si="20"/>
        <v>#N/A</v>
      </c>
    </row>
    <row r="124" spans="8:9" x14ac:dyDescent="0.25">
      <c r="H124" s="7" t="str">
        <f t="shared" si="19"/>
        <v>CitrusStandard</v>
      </c>
      <c r="I124" s="7" t="e">
        <f t="shared" si="20"/>
        <v>#N/A</v>
      </c>
    </row>
    <row r="125" spans="8:9" x14ac:dyDescent="0.25">
      <c r="H125" s="7">
        <f t="shared" si="19"/>
        <v>0</v>
      </c>
      <c r="I125" s="7" t="e">
        <f t="shared" si="20"/>
        <v>#N/A</v>
      </c>
    </row>
    <row r="126" spans="8:9" x14ac:dyDescent="0.25">
      <c r="H126" s="7">
        <f t="shared" si="19"/>
        <v>0</v>
      </c>
      <c r="I126" s="7" t="e">
        <f t="shared" si="20"/>
        <v>#N/A</v>
      </c>
    </row>
    <row r="127" spans="8:9" x14ac:dyDescent="0.25">
      <c r="H127" s="7">
        <f>IF(H105=$H$106,H128,IF(H105="",H128,H105))</f>
        <v>0</v>
      </c>
      <c r="I127" s="7" t="e">
        <f t="shared" si="20"/>
        <v>#N/A</v>
      </c>
    </row>
  </sheetData>
  <mergeCells count="1">
    <mergeCell ref="F5:F10"/>
  </mergeCells>
  <pageMargins left="0.7" right="0.7" top="0.75" bottom="0.75" header="0.3" footer="0.3"/>
  <pageSetup paperSize="21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Q75"/>
  <sheetViews>
    <sheetView workbookViewId="0">
      <selection activeCell="T17" sqref="T17"/>
    </sheetView>
  </sheetViews>
  <sheetFormatPr defaultRowHeight="15" x14ac:dyDescent="0.25"/>
  <cols>
    <col min="1" max="1" width="3.42578125" customWidth="1"/>
    <col min="19" max="19" width="13.7109375" customWidth="1"/>
    <col min="21" max="21" width="13.28515625" customWidth="1"/>
    <col min="24" max="24" width="9.140625" customWidth="1"/>
    <col min="26" max="26" width="9.140625" customWidth="1"/>
  </cols>
  <sheetData>
    <row r="2" spans="2:30" x14ac:dyDescent="0.25">
      <c r="B2" s="15" t="s">
        <v>127</v>
      </c>
      <c r="C2" s="7"/>
      <c r="D2" s="7"/>
      <c r="E2" s="7"/>
      <c r="F2" s="7"/>
      <c r="G2" s="7"/>
      <c r="H2" s="7"/>
      <c r="I2" s="7"/>
      <c r="J2" s="7"/>
    </row>
    <row r="3" spans="2:30" x14ac:dyDescent="0.25">
      <c r="B3" s="7"/>
      <c r="C3" s="7"/>
      <c r="D3" s="7"/>
      <c r="E3" s="7"/>
      <c r="F3" s="7"/>
      <c r="G3" s="7"/>
      <c r="H3" s="7"/>
      <c r="I3" s="7"/>
      <c r="J3" s="7"/>
    </row>
    <row r="4" spans="2:30" ht="15.75" thickBot="1" x14ac:dyDescent="0.3">
      <c r="B4" s="10" t="s">
        <v>4</v>
      </c>
      <c r="C4" s="7"/>
      <c r="D4" s="7"/>
      <c r="E4" s="7"/>
      <c r="F4" s="7"/>
      <c r="G4" s="7"/>
      <c r="H4" s="7"/>
      <c r="I4" s="7"/>
      <c r="J4" s="7"/>
    </row>
    <row r="5" spans="2:30" ht="15.75" thickBot="1" x14ac:dyDescent="0.3">
      <c r="B5" s="6" t="s">
        <v>54</v>
      </c>
      <c r="C5" s="7"/>
      <c r="D5" s="7"/>
      <c r="E5" s="7"/>
      <c r="F5" s="229" t="s">
        <v>60</v>
      </c>
      <c r="G5" s="7" t="s">
        <v>38</v>
      </c>
      <c r="H5" s="7"/>
      <c r="I5" s="7"/>
      <c r="J5" s="11">
        <f>O28</f>
        <v>1</v>
      </c>
      <c r="N5" t="s">
        <v>63</v>
      </c>
      <c r="O5" s="60">
        <f>'Range Check'!L6</f>
        <v>0</v>
      </c>
      <c r="V5">
        <v>0.19846566305609661</v>
      </c>
    </row>
    <row r="6" spans="2:30" ht="15.75" thickBot="1" x14ac:dyDescent="0.3">
      <c r="B6" s="7" t="s">
        <v>57</v>
      </c>
      <c r="C6" s="7"/>
      <c r="D6" s="11">
        <f>O11</f>
        <v>7</v>
      </c>
      <c r="E6" s="7"/>
      <c r="F6" s="229"/>
      <c r="G6" s="7" t="s">
        <v>49</v>
      </c>
      <c r="H6" s="7"/>
      <c r="I6" s="7"/>
      <c r="J6" s="11">
        <f t="shared" ref="J6:J22" si="0">O29</f>
        <v>0</v>
      </c>
    </row>
    <row r="7" spans="2:30" ht="15.75" thickBot="1" x14ac:dyDescent="0.3">
      <c r="B7" s="7"/>
      <c r="C7" s="7"/>
      <c r="D7" s="7"/>
      <c r="E7" s="7"/>
      <c r="F7" s="229"/>
      <c r="G7" s="7" t="s">
        <v>52</v>
      </c>
      <c r="H7" s="7"/>
      <c r="I7" s="7"/>
      <c r="J7" s="11">
        <f t="shared" si="0"/>
        <v>0</v>
      </c>
    </row>
    <row r="8" spans="2:30" ht="15.75" thickBot="1" x14ac:dyDescent="0.3">
      <c r="B8" s="6" t="s">
        <v>55</v>
      </c>
      <c r="C8" s="7"/>
      <c r="D8" s="7"/>
      <c r="E8" s="7"/>
      <c r="F8" s="229"/>
      <c r="G8" s="7" t="s">
        <v>51</v>
      </c>
      <c r="H8" s="7"/>
      <c r="I8" s="7"/>
      <c r="J8" s="11">
        <f t="shared" si="0"/>
        <v>0</v>
      </c>
    </row>
    <row r="9" spans="2:30" ht="15.75" thickBot="1" x14ac:dyDescent="0.3">
      <c r="B9" s="7" t="s">
        <v>15</v>
      </c>
      <c r="C9" s="7"/>
      <c r="D9" s="11">
        <f>SUM(J5:J10)</f>
        <v>2</v>
      </c>
      <c r="E9" s="7"/>
      <c r="F9" s="229"/>
      <c r="G9" s="7" t="s">
        <v>50</v>
      </c>
      <c r="H9" s="7"/>
      <c r="I9" s="7"/>
      <c r="J9" s="11">
        <f t="shared" si="0"/>
        <v>0</v>
      </c>
    </row>
    <row r="10" spans="2:30" ht="15.75" thickBot="1" x14ac:dyDescent="0.3">
      <c r="B10" s="7" t="s">
        <v>17</v>
      </c>
      <c r="C10" s="7"/>
      <c r="D10" s="11">
        <f>SUM(J11:J16)</f>
        <v>3</v>
      </c>
      <c r="E10" s="7"/>
      <c r="F10" s="229"/>
      <c r="G10" s="7" t="s">
        <v>46</v>
      </c>
      <c r="H10" s="7"/>
      <c r="I10" s="7"/>
      <c r="J10" s="11">
        <f t="shared" si="0"/>
        <v>1</v>
      </c>
      <c r="M10" s="6" t="s">
        <v>54</v>
      </c>
      <c r="N10" s="7"/>
      <c r="O10" s="7"/>
    </row>
    <row r="11" spans="2:30" ht="15.75" thickBot="1" x14ac:dyDescent="0.3">
      <c r="B11" s="7" t="s">
        <v>19</v>
      </c>
      <c r="C11" s="7"/>
      <c r="D11" s="11">
        <f>SUM(J17:J22)</f>
        <v>2</v>
      </c>
      <c r="E11" s="7"/>
      <c r="F11" s="7"/>
      <c r="G11" s="7" t="s">
        <v>40</v>
      </c>
      <c r="H11" s="7"/>
      <c r="I11" s="7"/>
      <c r="J11" s="11">
        <f t="shared" si="0"/>
        <v>1</v>
      </c>
      <c r="M11" s="7" t="s">
        <v>57</v>
      </c>
      <c r="N11" s="7"/>
      <c r="O11">
        <f>IF(ROUND(O5*V5,0)&lt;7,7,ROUND(O5*V5,0))</f>
        <v>7</v>
      </c>
    </row>
    <row r="12" spans="2:30" ht="15.75" thickBot="1" x14ac:dyDescent="0.3">
      <c r="B12" s="7"/>
      <c r="C12" s="7"/>
      <c r="D12" s="7"/>
      <c r="E12" s="7"/>
      <c r="F12" s="7"/>
      <c r="G12" s="7" t="s">
        <v>41</v>
      </c>
      <c r="H12" s="7"/>
      <c r="I12" s="7"/>
      <c r="J12" s="11">
        <f t="shared" si="0"/>
        <v>1</v>
      </c>
      <c r="M12" s="7"/>
      <c r="N12" s="7"/>
      <c r="O12" s="7"/>
    </row>
    <row r="13" spans="2:30" ht="15.75" thickBot="1" x14ac:dyDescent="0.3">
      <c r="B13" s="6" t="s">
        <v>56</v>
      </c>
      <c r="C13" s="7"/>
      <c r="D13" s="7"/>
      <c r="E13" s="7"/>
      <c r="F13" s="7"/>
      <c r="G13" s="7" t="s">
        <v>48</v>
      </c>
      <c r="H13" s="7"/>
      <c r="I13" s="7"/>
      <c r="J13" s="11">
        <f t="shared" si="0"/>
        <v>0</v>
      </c>
      <c r="M13" s="6" t="s">
        <v>55</v>
      </c>
      <c r="N13" s="7"/>
      <c r="O13" s="7"/>
      <c r="W13" s="12"/>
    </row>
    <row r="14" spans="2:30" ht="15.75" thickBot="1" x14ac:dyDescent="0.3">
      <c r="B14" s="7" t="s">
        <v>22</v>
      </c>
      <c r="C14" s="7"/>
      <c r="D14" s="11">
        <f t="shared" ref="D14:D19" si="1">O19</f>
        <v>3</v>
      </c>
      <c r="E14" s="7"/>
      <c r="F14" s="7"/>
      <c r="G14" s="7" t="s">
        <v>47</v>
      </c>
      <c r="H14" s="7"/>
      <c r="I14" s="7"/>
      <c r="J14" s="11">
        <f t="shared" si="0"/>
        <v>0</v>
      </c>
      <c r="M14" s="7" t="s">
        <v>15</v>
      </c>
      <c r="N14" s="7"/>
      <c r="O14" s="7">
        <f>IF(SUM($P$14:$P$16)&gt;$O$11,IF(T14=MAX($T$14:$T$16),P14-1,P14),P14)</f>
        <v>2</v>
      </c>
      <c r="P14">
        <f>ROUND(IF(ROUND($O$11*0.185714285714286,1)&lt;2,2,2+((ROUND($O$11*0.185714285714286,1))-2)),0)</f>
        <v>2</v>
      </c>
      <c r="R14">
        <v>0.185714285714286</v>
      </c>
      <c r="T14" s="128">
        <f>IF(($O$11*0.185714285714286)&lt;2,2,(2+($O$11*0.185714285714286)-2))-2</f>
        <v>0</v>
      </c>
      <c r="W14" s="12"/>
    </row>
    <row r="15" spans="2:30" ht="15.75" thickBot="1" x14ac:dyDescent="0.3">
      <c r="B15" s="7" t="s">
        <v>23</v>
      </c>
      <c r="C15" s="7"/>
      <c r="D15" s="11">
        <f t="shared" si="1"/>
        <v>1</v>
      </c>
      <c r="E15" s="7"/>
      <c r="F15" s="7"/>
      <c r="G15" s="7" t="s">
        <v>39</v>
      </c>
      <c r="H15" s="7"/>
      <c r="I15" s="7"/>
      <c r="J15" s="11">
        <f t="shared" si="0"/>
        <v>0</v>
      </c>
      <c r="M15" s="7" t="s">
        <v>17</v>
      </c>
      <c r="N15" s="7"/>
      <c r="O15" s="7">
        <f t="shared" ref="O15:O16" si="2">IF(SUM($P$14:$P$16)&gt;$O$11,IF(T15=MAX($T$14:$T$16),P15-1,P15),P15)</f>
        <v>3</v>
      </c>
      <c r="P15">
        <f>ROUND(IF(ROUND($O$11*0.488571428571429,1)&lt;3,3,3+((ROUND($O$11*0.488571428571429,1))-3)),0)</f>
        <v>3</v>
      </c>
      <c r="R15">
        <v>0.48857142857142899</v>
      </c>
      <c r="T15" s="128">
        <f>IF(($O$11*0.488571428571429)&lt;3,3,(3+($O$11*0.488571428571429)-3))-3</f>
        <v>0.42000000000000348</v>
      </c>
      <c r="W15" s="12"/>
      <c r="AC15" s="1"/>
      <c r="AD15" s="1"/>
    </row>
    <row r="16" spans="2:30" ht="15.75" thickBot="1" x14ac:dyDescent="0.3">
      <c r="B16" s="7" t="s">
        <v>24</v>
      </c>
      <c r="C16" s="7"/>
      <c r="D16" s="11">
        <f t="shared" si="1"/>
        <v>0</v>
      </c>
      <c r="E16" s="7"/>
      <c r="F16" s="7"/>
      <c r="G16" s="7" t="s">
        <v>37</v>
      </c>
      <c r="H16" s="7"/>
      <c r="I16" s="7"/>
      <c r="J16" s="11">
        <f t="shared" si="0"/>
        <v>1</v>
      </c>
      <c r="M16" s="7" t="s">
        <v>19</v>
      </c>
      <c r="N16" s="7"/>
      <c r="O16" s="7">
        <f t="shared" si="2"/>
        <v>2</v>
      </c>
      <c r="P16">
        <f>ROUND(IF(ROUND($O$11*0.325714285714286,1)&lt;2,2,2+((ROUND($O$11*0.325714285714286,1))-2)),0)</f>
        <v>2</v>
      </c>
      <c r="R16">
        <v>0.32571428571428601</v>
      </c>
      <c r="T16" s="128">
        <f>IF(($O$11*0.325714285714286)&lt;2,2,(2+($O$11*0.325714285714286)-2))-2</f>
        <v>0.28000000000000203</v>
      </c>
      <c r="W16" s="61"/>
      <c r="AC16" s="1"/>
      <c r="AD16" s="1"/>
    </row>
    <row r="17" spans="2:30" ht="15.75" thickBot="1" x14ac:dyDescent="0.3">
      <c r="B17" s="7" t="s">
        <v>25</v>
      </c>
      <c r="C17" s="7"/>
      <c r="D17" s="11">
        <f t="shared" si="1"/>
        <v>0</v>
      </c>
      <c r="E17" s="7"/>
      <c r="F17" s="7"/>
      <c r="G17" s="7" t="s">
        <v>36</v>
      </c>
      <c r="H17" s="7"/>
      <c r="I17" s="7"/>
      <c r="J17" s="11">
        <f t="shared" si="0"/>
        <v>1</v>
      </c>
      <c r="M17" s="7"/>
      <c r="N17" s="7"/>
      <c r="O17" s="7"/>
      <c r="AC17" s="1"/>
      <c r="AD17" s="1"/>
    </row>
    <row r="18" spans="2:30" ht="15.75" thickBot="1" x14ac:dyDescent="0.3">
      <c r="B18" s="7" t="s">
        <v>26</v>
      </c>
      <c r="C18" s="7"/>
      <c r="D18" s="11">
        <f t="shared" si="1"/>
        <v>1</v>
      </c>
      <c r="E18" s="7"/>
      <c r="F18" s="7"/>
      <c r="G18" s="7" t="s">
        <v>43</v>
      </c>
      <c r="H18" s="7"/>
      <c r="I18" s="7"/>
      <c r="J18" s="11">
        <f t="shared" si="0"/>
        <v>0</v>
      </c>
      <c r="M18" s="6" t="s">
        <v>56</v>
      </c>
      <c r="N18" s="7"/>
      <c r="O18" s="7"/>
      <c r="AC18" s="1"/>
      <c r="AD18" s="1"/>
    </row>
    <row r="19" spans="2:30" ht="15.75" thickBot="1" x14ac:dyDescent="0.3">
      <c r="B19" s="7" t="s">
        <v>27</v>
      </c>
      <c r="C19" s="7"/>
      <c r="D19" s="11">
        <f t="shared" si="1"/>
        <v>2</v>
      </c>
      <c r="E19" s="7"/>
      <c r="F19" s="7"/>
      <c r="G19" s="7" t="s">
        <v>44</v>
      </c>
      <c r="H19" s="7"/>
      <c r="I19" s="7"/>
      <c r="J19" s="11">
        <f t="shared" si="0"/>
        <v>0</v>
      </c>
      <c r="M19" s="7" t="s">
        <v>22</v>
      </c>
      <c r="N19" s="7"/>
      <c r="O19" s="1">
        <f t="shared" ref="O19:O24" si="3">IF($V$22=($V$23+2),IF(T19=MAX($T$19:$T$24),T19-2,T19),IF($V$22=$V$23,T19,IF($V$22&lt;$V$23,IF(S19=LARGE($S$19:$S$24,2),T19+1,T19),IF($V$22&gt;$V$23,IF(T19=MAX($T$19:$T$24),T19-1,T19),IF($V$22=$V$23,T19,IF($V$22&lt;$V$23,IF(S19=LARGE($S$19:$S$24,2),T19+1,T19),"S"))))))</f>
        <v>3</v>
      </c>
      <c r="Q19">
        <v>3</v>
      </c>
      <c r="R19">
        <v>0.40944683000757764</v>
      </c>
      <c r="S19">
        <f t="shared" ref="S19:S24" si="4">($O$11-7)*R19-ROUNDDOWN(($O$11-7)*R19,0)</f>
        <v>0</v>
      </c>
      <c r="T19">
        <f t="shared" ref="T19:T24" si="5">IF(($O$11-7)*R19-ROUNDDOWN(($O$11-7)*R19,0)&gt;0.49,1,0)+ROUNDDOWN(($O$11-7)*R19,0)+Q19</f>
        <v>3</v>
      </c>
      <c r="AC19" s="1"/>
      <c r="AD19" s="1"/>
    </row>
    <row r="20" spans="2:30" ht="15.75" thickBot="1" x14ac:dyDescent="0.3">
      <c r="B20" s="7"/>
      <c r="C20" s="7"/>
      <c r="D20" s="7"/>
      <c r="E20" s="7"/>
      <c r="F20" s="7"/>
      <c r="G20" s="7" t="s">
        <v>45</v>
      </c>
      <c r="H20" s="7"/>
      <c r="I20" s="7"/>
      <c r="J20" s="11">
        <f t="shared" si="0"/>
        <v>0</v>
      </c>
      <c r="M20" s="7" t="s">
        <v>23</v>
      </c>
      <c r="N20" s="7"/>
      <c r="O20" s="1">
        <f t="shared" si="3"/>
        <v>1</v>
      </c>
      <c r="Q20">
        <v>1</v>
      </c>
      <c r="R20">
        <v>0.16115180601161908</v>
      </c>
      <c r="S20">
        <f t="shared" si="4"/>
        <v>0</v>
      </c>
      <c r="T20">
        <f t="shared" si="5"/>
        <v>1</v>
      </c>
      <c r="AC20" s="1"/>
      <c r="AD20" s="1"/>
    </row>
    <row r="21" spans="2:30" ht="15.75" thickBot="1" x14ac:dyDescent="0.3">
      <c r="B21" s="7"/>
      <c r="C21" s="7"/>
      <c r="D21" s="7"/>
      <c r="E21" s="7"/>
      <c r="F21" s="12"/>
      <c r="G21" s="12" t="s">
        <v>35</v>
      </c>
      <c r="H21" s="12"/>
      <c r="I21" s="7"/>
      <c r="J21" s="11">
        <f t="shared" si="0"/>
        <v>1</v>
      </c>
      <c r="M21" s="7" t="s">
        <v>24</v>
      </c>
      <c r="N21" s="7"/>
      <c r="O21" s="1">
        <f t="shared" si="3"/>
        <v>0</v>
      </c>
      <c r="Q21">
        <v>0</v>
      </c>
      <c r="R21">
        <v>3.1321040666835061E-2</v>
      </c>
      <c r="S21">
        <f t="shared" si="4"/>
        <v>0</v>
      </c>
      <c r="T21">
        <f t="shared" si="5"/>
        <v>0</v>
      </c>
      <c r="AC21" s="1"/>
      <c r="AD21" s="1"/>
    </row>
    <row r="22" spans="2:30" ht="15.75" thickBot="1" x14ac:dyDescent="0.3">
      <c r="B22" s="7"/>
      <c r="C22" s="7"/>
      <c r="D22" s="7"/>
      <c r="E22" s="7"/>
      <c r="F22" s="7"/>
      <c r="G22" s="7" t="s">
        <v>42</v>
      </c>
      <c r="H22" s="7"/>
      <c r="I22" s="7"/>
      <c r="J22" s="11">
        <f t="shared" si="0"/>
        <v>0</v>
      </c>
      <c r="M22" s="7" t="s">
        <v>25</v>
      </c>
      <c r="N22" s="7"/>
      <c r="O22" s="1">
        <f t="shared" si="3"/>
        <v>0</v>
      </c>
      <c r="Q22">
        <v>0</v>
      </c>
      <c r="R22">
        <v>0.10861328618337965</v>
      </c>
      <c r="S22">
        <f t="shared" si="4"/>
        <v>0</v>
      </c>
      <c r="T22">
        <f t="shared" si="5"/>
        <v>0</v>
      </c>
      <c r="V22">
        <f>SUM(T19:T24)</f>
        <v>7</v>
      </c>
      <c r="AC22" s="1"/>
      <c r="AD22" s="1"/>
    </row>
    <row r="23" spans="2:30" x14ac:dyDescent="0.25">
      <c r="B23" s="9"/>
      <c r="C23" s="9"/>
      <c r="D23" s="9"/>
      <c r="E23" s="9"/>
      <c r="F23" s="9"/>
      <c r="G23" s="9"/>
      <c r="H23" s="9"/>
      <c r="I23" s="9"/>
      <c r="J23" s="9"/>
      <c r="M23" s="7" t="s">
        <v>26</v>
      </c>
      <c r="N23" s="7"/>
      <c r="O23" s="1">
        <f t="shared" si="3"/>
        <v>1</v>
      </c>
      <c r="Q23">
        <v>1</v>
      </c>
      <c r="R23">
        <v>7.2493053801465021E-2</v>
      </c>
      <c r="S23">
        <f t="shared" si="4"/>
        <v>0</v>
      </c>
      <c r="T23">
        <f t="shared" si="5"/>
        <v>1</v>
      </c>
      <c r="V23">
        <f>O11</f>
        <v>7</v>
      </c>
      <c r="AC23" s="1"/>
      <c r="AD23" s="1"/>
    </row>
    <row r="24" spans="2:30" x14ac:dyDescent="0.25">
      <c r="M24" s="7" t="s">
        <v>27</v>
      </c>
      <c r="N24" s="7"/>
      <c r="O24" s="1">
        <f t="shared" si="3"/>
        <v>2</v>
      </c>
      <c r="Q24">
        <v>2</v>
      </c>
      <c r="R24">
        <v>0.21697398332912352</v>
      </c>
      <c r="S24">
        <f t="shared" si="4"/>
        <v>0</v>
      </c>
      <c r="T24">
        <f t="shared" si="5"/>
        <v>2</v>
      </c>
      <c r="AC24" s="1"/>
      <c r="AD24" s="1"/>
    </row>
    <row r="25" spans="2:30" x14ac:dyDescent="0.25">
      <c r="M25" s="7"/>
      <c r="N25" s="7"/>
      <c r="O25" s="7"/>
      <c r="AC25" s="1"/>
      <c r="AD25" s="1"/>
    </row>
    <row r="26" spans="2:30" x14ac:dyDescent="0.25">
      <c r="AC26" s="1"/>
      <c r="AD26" s="1"/>
    </row>
    <row r="27" spans="2:30" ht="15.75" thickBot="1" x14ac:dyDescent="0.3"/>
    <row r="28" spans="2:30" ht="15.75" thickBot="1" x14ac:dyDescent="0.3">
      <c r="M28" s="7" t="s">
        <v>38</v>
      </c>
      <c r="N28" s="7"/>
      <c r="O28" s="7">
        <f>P28+Q28</f>
        <v>1</v>
      </c>
      <c r="P28" s="11">
        <v>1</v>
      </c>
      <c r="Q28">
        <f>COUNTIF($75:$75,M28)</f>
        <v>0</v>
      </c>
    </row>
    <row r="29" spans="2:30" ht="15.75" thickBot="1" x14ac:dyDescent="0.3">
      <c r="M29" s="7" t="s">
        <v>49</v>
      </c>
      <c r="N29" s="7"/>
      <c r="O29" s="7">
        <f t="shared" ref="O29:O45" si="6">P29+Q29</f>
        <v>0</v>
      </c>
      <c r="P29" s="11">
        <v>0</v>
      </c>
      <c r="Q29">
        <f t="shared" ref="Q29:Q45" si="7">COUNTIF($75:$75,M29)</f>
        <v>0</v>
      </c>
    </row>
    <row r="30" spans="2:30" ht="15.75" thickBot="1" x14ac:dyDescent="0.3">
      <c r="M30" s="7" t="s">
        <v>52</v>
      </c>
      <c r="N30" s="7"/>
      <c r="O30" s="7">
        <f t="shared" si="6"/>
        <v>0</v>
      </c>
      <c r="P30" s="11">
        <v>0</v>
      </c>
      <c r="Q30">
        <f t="shared" si="7"/>
        <v>0</v>
      </c>
    </row>
    <row r="31" spans="2:30" ht="15.75" thickBot="1" x14ac:dyDescent="0.3">
      <c r="M31" s="7" t="s">
        <v>51</v>
      </c>
      <c r="N31" s="7"/>
      <c r="O31" s="7">
        <f t="shared" si="6"/>
        <v>0</v>
      </c>
      <c r="P31" s="11">
        <v>0</v>
      </c>
      <c r="Q31">
        <f t="shared" si="7"/>
        <v>0</v>
      </c>
    </row>
    <row r="32" spans="2:30" ht="15.75" thickBot="1" x14ac:dyDescent="0.3">
      <c r="M32" s="7" t="s">
        <v>50</v>
      </c>
      <c r="N32" s="7"/>
      <c r="O32" s="7">
        <f t="shared" si="6"/>
        <v>0</v>
      </c>
      <c r="P32" s="11">
        <v>0</v>
      </c>
      <c r="Q32">
        <f t="shared" si="7"/>
        <v>0</v>
      </c>
    </row>
    <row r="33" spans="13:17" ht="15.75" thickBot="1" x14ac:dyDescent="0.3">
      <c r="M33" s="7" t="s">
        <v>46</v>
      </c>
      <c r="N33" s="7"/>
      <c r="O33" s="7">
        <f t="shared" si="6"/>
        <v>1</v>
      </c>
      <c r="P33" s="11">
        <v>1</v>
      </c>
      <c r="Q33">
        <f t="shared" si="7"/>
        <v>0</v>
      </c>
    </row>
    <row r="34" spans="13:17" ht="15.75" thickBot="1" x14ac:dyDescent="0.3">
      <c r="M34" s="7" t="s">
        <v>40</v>
      </c>
      <c r="N34" s="7"/>
      <c r="O34" s="7">
        <f t="shared" si="6"/>
        <v>1</v>
      </c>
      <c r="P34" s="11">
        <v>1</v>
      </c>
      <c r="Q34">
        <f t="shared" si="7"/>
        <v>0</v>
      </c>
    </row>
    <row r="35" spans="13:17" ht="15.75" thickBot="1" x14ac:dyDescent="0.3">
      <c r="M35" s="7" t="s">
        <v>41</v>
      </c>
      <c r="N35" s="7"/>
      <c r="O35" s="7">
        <f t="shared" si="6"/>
        <v>1</v>
      </c>
      <c r="P35" s="11">
        <v>1</v>
      </c>
      <c r="Q35">
        <f t="shared" si="7"/>
        <v>0</v>
      </c>
    </row>
    <row r="36" spans="13:17" ht="15.75" thickBot="1" x14ac:dyDescent="0.3">
      <c r="M36" s="7" t="s">
        <v>48</v>
      </c>
      <c r="N36" s="7"/>
      <c r="O36" s="7">
        <f t="shared" si="6"/>
        <v>0</v>
      </c>
      <c r="P36" s="11">
        <v>0</v>
      </c>
      <c r="Q36">
        <f t="shared" si="7"/>
        <v>0</v>
      </c>
    </row>
    <row r="37" spans="13:17" ht="15.75" thickBot="1" x14ac:dyDescent="0.3">
      <c r="M37" s="7" t="s">
        <v>47</v>
      </c>
      <c r="N37" s="7"/>
      <c r="O37" s="7">
        <f t="shared" si="6"/>
        <v>0</v>
      </c>
      <c r="P37" s="11">
        <v>0</v>
      </c>
      <c r="Q37">
        <f t="shared" si="7"/>
        <v>0</v>
      </c>
    </row>
    <row r="38" spans="13:17" ht="15.75" thickBot="1" x14ac:dyDescent="0.3">
      <c r="M38" s="7" t="s">
        <v>39</v>
      </c>
      <c r="N38" s="7"/>
      <c r="O38" s="7">
        <f t="shared" si="6"/>
        <v>0</v>
      </c>
      <c r="P38" s="11">
        <v>0</v>
      </c>
      <c r="Q38">
        <f t="shared" si="7"/>
        <v>0</v>
      </c>
    </row>
    <row r="39" spans="13:17" ht="15.75" thickBot="1" x14ac:dyDescent="0.3">
      <c r="M39" s="7" t="s">
        <v>37</v>
      </c>
      <c r="N39" s="7"/>
      <c r="O39" s="7">
        <f t="shared" si="6"/>
        <v>1</v>
      </c>
      <c r="P39" s="11">
        <v>1</v>
      </c>
      <c r="Q39">
        <f t="shared" si="7"/>
        <v>0</v>
      </c>
    </row>
    <row r="40" spans="13:17" ht="15.75" thickBot="1" x14ac:dyDescent="0.3">
      <c r="M40" s="7" t="s">
        <v>36</v>
      </c>
      <c r="N40" s="7"/>
      <c r="O40" s="7">
        <f t="shared" si="6"/>
        <v>1</v>
      </c>
      <c r="P40" s="11">
        <v>1</v>
      </c>
      <c r="Q40">
        <f t="shared" si="7"/>
        <v>0</v>
      </c>
    </row>
    <row r="41" spans="13:17" ht="15.75" thickBot="1" x14ac:dyDescent="0.3">
      <c r="M41" s="7" t="s">
        <v>43</v>
      </c>
      <c r="N41" s="7"/>
      <c r="O41" s="7">
        <f t="shared" si="6"/>
        <v>0</v>
      </c>
      <c r="P41" s="11">
        <v>0</v>
      </c>
      <c r="Q41">
        <f t="shared" si="7"/>
        <v>0</v>
      </c>
    </row>
    <row r="42" spans="13:17" ht="15.75" thickBot="1" x14ac:dyDescent="0.3">
      <c r="M42" s="7" t="s">
        <v>44</v>
      </c>
      <c r="N42" s="7"/>
      <c r="O42" s="7">
        <f t="shared" si="6"/>
        <v>0</v>
      </c>
      <c r="P42" s="11">
        <v>0</v>
      </c>
      <c r="Q42">
        <f t="shared" si="7"/>
        <v>0</v>
      </c>
    </row>
    <row r="43" spans="13:17" ht="15.75" thickBot="1" x14ac:dyDescent="0.3">
      <c r="M43" s="7" t="s">
        <v>45</v>
      </c>
      <c r="N43" s="7"/>
      <c r="O43" s="7">
        <f t="shared" si="6"/>
        <v>0</v>
      </c>
      <c r="P43" s="11">
        <v>0</v>
      </c>
      <c r="Q43">
        <f t="shared" si="7"/>
        <v>0</v>
      </c>
    </row>
    <row r="44" spans="13:17" ht="15.75" thickBot="1" x14ac:dyDescent="0.3">
      <c r="M44" s="12" t="s">
        <v>35</v>
      </c>
      <c r="N44" s="12"/>
      <c r="O44" s="7">
        <f t="shared" si="6"/>
        <v>1</v>
      </c>
      <c r="P44" s="11">
        <v>1</v>
      </c>
      <c r="Q44">
        <f t="shared" si="7"/>
        <v>0</v>
      </c>
    </row>
    <row r="45" spans="13:17" ht="15.75" thickBot="1" x14ac:dyDescent="0.3">
      <c r="M45" s="7" t="s">
        <v>42</v>
      </c>
      <c r="N45" s="7"/>
      <c r="O45" s="7">
        <f t="shared" si="6"/>
        <v>0</v>
      </c>
      <c r="P45" s="11">
        <v>0</v>
      </c>
      <c r="Q45">
        <f t="shared" si="7"/>
        <v>0</v>
      </c>
    </row>
    <row r="47" spans="13:17" x14ac:dyDescent="0.25">
      <c r="P47" t="s">
        <v>315</v>
      </c>
      <c r="Q47" t="s">
        <v>316</v>
      </c>
    </row>
    <row r="48" spans="13:17" x14ac:dyDescent="0.25">
      <c r="M48" s="7" t="s">
        <v>22</v>
      </c>
      <c r="N48">
        <v>3</v>
      </c>
      <c r="P48">
        <f>O19</f>
        <v>3</v>
      </c>
      <c r="Q48">
        <f>MAX(0,P48-N48)</f>
        <v>0</v>
      </c>
    </row>
    <row r="49" spans="13:121" x14ac:dyDescent="0.25">
      <c r="M49" s="7" t="s">
        <v>23</v>
      </c>
      <c r="N49">
        <v>1</v>
      </c>
      <c r="P49">
        <f t="shared" ref="P49:P53" si="8">O20</f>
        <v>1</v>
      </c>
      <c r="Q49">
        <f t="shared" ref="Q49:Q57" si="9">MAX(0,P49-N49)</f>
        <v>0</v>
      </c>
    </row>
    <row r="50" spans="13:121" x14ac:dyDescent="0.25">
      <c r="M50" s="7" t="s">
        <v>24</v>
      </c>
      <c r="N50">
        <v>0</v>
      </c>
      <c r="P50">
        <f t="shared" si="8"/>
        <v>0</v>
      </c>
      <c r="Q50">
        <f t="shared" si="9"/>
        <v>0</v>
      </c>
    </row>
    <row r="51" spans="13:121" x14ac:dyDescent="0.25">
      <c r="M51" s="7" t="s">
        <v>25</v>
      </c>
      <c r="N51">
        <v>0</v>
      </c>
      <c r="P51">
        <f t="shared" si="8"/>
        <v>0</v>
      </c>
      <c r="Q51">
        <f t="shared" si="9"/>
        <v>0</v>
      </c>
    </row>
    <row r="52" spans="13:121" x14ac:dyDescent="0.25">
      <c r="M52" s="7" t="s">
        <v>26</v>
      </c>
      <c r="N52">
        <v>1</v>
      </c>
      <c r="P52">
        <f>O23</f>
        <v>1</v>
      </c>
      <c r="Q52">
        <f t="shared" si="9"/>
        <v>0</v>
      </c>
    </row>
    <row r="53" spans="13:121" x14ac:dyDescent="0.25">
      <c r="M53" s="7" t="s">
        <v>27</v>
      </c>
      <c r="N53">
        <v>2</v>
      </c>
      <c r="P53">
        <f t="shared" si="8"/>
        <v>2</v>
      </c>
      <c r="Q53">
        <f t="shared" si="9"/>
        <v>0</v>
      </c>
    </row>
    <row r="55" spans="13:121" x14ac:dyDescent="0.25">
      <c r="M55" t="s">
        <v>15</v>
      </c>
      <c r="N55">
        <v>2</v>
      </c>
      <c r="P55">
        <f t="shared" ref="P55:P57" si="10">O14</f>
        <v>2</v>
      </c>
      <c r="Q55">
        <f t="shared" si="9"/>
        <v>0</v>
      </c>
    </row>
    <row r="56" spans="13:121" x14ac:dyDescent="0.25">
      <c r="M56" t="s">
        <v>17</v>
      </c>
      <c r="N56">
        <v>3</v>
      </c>
      <c r="P56">
        <f t="shared" si="10"/>
        <v>3</v>
      </c>
      <c r="Q56">
        <f t="shared" si="9"/>
        <v>0</v>
      </c>
    </row>
    <row r="57" spans="13:121" x14ac:dyDescent="0.25">
      <c r="M57" t="s">
        <v>19</v>
      </c>
      <c r="N57">
        <v>2</v>
      </c>
      <c r="P57">
        <f t="shared" si="10"/>
        <v>2</v>
      </c>
      <c r="Q57">
        <f t="shared" si="9"/>
        <v>0</v>
      </c>
    </row>
    <row r="59" spans="13:121" x14ac:dyDescent="0.25">
      <c r="T59" t="s">
        <v>22</v>
      </c>
      <c r="U59">
        <f>Q48</f>
        <v>0</v>
      </c>
      <c r="V59" t="e">
        <f>IF(U$71=$T59,U59-1,U59)</f>
        <v>#NUM!</v>
      </c>
      <c r="W59" t="e">
        <f>IF(V$71=$T59,V59-1,V59)</f>
        <v>#NUM!</v>
      </c>
      <c r="X59" t="e">
        <f t="shared" ref="X59:CI62" si="11">IF(W$71=$T59,W59-1,W59)</f>
        <v>#NUM!</v>
      </c>
      <c r="Y59" t="e">
        <f t="shared" si="11"/>
        <v>#NUM!</v>
      </c>
      <c r="Z59" t="e">
        <f t="shared" si="11"/>
        <v>#NUM!</v>
      </c>
      <c r="AA59" t="e">
        <f t="shared" si="11"/>
        <v>#NUM!</v>
      </c>
      <c r="AB59" t="e">
        <f t="shared" si="11"/>
        <v>#NUM!</v>
      </c>
      <c r="AC59" t="e">
        <f t="shared" si="11"/>
        <v>#NUM!</v>
      </c>
      <c r="AD59" t="e">
        <f t="shared" si="11"/>
        <v>#NUM!</v>
      </c>
      <c r="AE59" t="e">
        <f t="shared" si="11"/>
        <v>#NUM!</v>
      </c>
      <c r="AF59" t="e">
        <f t="shared" si="11"/>
        <v>#NUM!</v>
      </c>
      <c r="AG59" t="e">
        <f t="shared" si="11"/>
        <v>#NUM!</v>
      </c>
      <c r="AH59" t="e">
        <f t="shared" si="11"/>
        <v>#NUM!</v>
      </c>
      <c r="AI59" t="e">
        <f t="shared" si="11"/>
        <v>#NUM!</v>
      </c>
      <c r="AJ59" t="e">
        <f t="shared" si="11"/>
        <v>#NUM!</v>
      </c>
      <c r="AK59" t="e">
        <f t="shared" si="11"/>
        <v>#NUM!</v>
      </c>
      <c r="AL59" t="e">
        <f t="shared" si="11"/>
        <v>#NUM!</v>
      </c>
      <c r="AM59" t="e">
        <f t="shared" si="11"/>
        <v>#NUM!</v>
      </c>
      <c r="AN59" t="e">
        <f t="shared" si="11"/>
        <v>#NUM!</v>
      </c>
      <c r="AO59" t="e">
        <f t="shared" si="11"/>
        <v>#NUM!</v>
      </c>
      <c r="AP59" t="e">
        <f t="shared" si="11"/>
        <v>#NUM!</v>
      </c>
      <c r="AQ59" t="e">
        <f t="shared" si="11"/>
        <v>#NUM!</v>
      </c>
      <c r="AR59" t="e">
        <f t="shared" si="11"/>
        <v>#NUM!</v>
      </c>
      <c r="AS59" t="e">
        <f t="shared" si="11"/>
        <v>#NUM!</v>
      </c>
      <c r="AT59" t="e">
        <f t="shared" si="11"/>
        <v>#NUM!</v>
      </c>
      <c r="AU59" t="e">
        <f t="shared" si="11"/>
        <v>#NUM!</v>
      </c>
      <c r="AV59" t="e">
        <f t="shared" si="11"/>
        <v>#NUM!</v>
      </c>
      <c r="AW59" t="e">
        <f t="shared" si="11"/>
        <v>#NUM!</v>
      </c>
      <c r="AX59" t="e">
        <f t="shared" si="11"/>
        <v>#NUM!</v>
      </c>
      <c r="AY59" t="e">
        <f t="shared" si="11"/>
        <v>#NUM!</v>
      </c>
      <c r="AZ59" t="e">
        <f t="shared" si="11"/>
        <v>#NUM!</v>
      </c>
      <c r="BA59" t="e">
        <f t="shared" si="11"/>
        <v>#NUM!</v>
      </c>
      <c r="BB59" t="e">
        <f t="shared" si="11"/>
        <v>#NUM!</v>
      </c>
      <c r="BC59" t="e">
        <f t="shared" si="11"/>
        <v>#NUM!</v>
      </c>
      <c r="BD59" t="e">
        <f t="shared" si="11"/>
        <v>#NUM!</v>
      </c>
      <c r="BE59" t="e">
        <f t="shared" si="11"/>
        <v>#NUM!</v>
      </c>
      <c r="BF59" t="e">
        <f t="shared" si="11"/>
        <v>#NUM!</v>
      </c>
      <c r="BG59" t="e">
        <f t="shared" si="11"/>
        <v>#NUM!</v>
      </c>
      <c r="BH59" t="e">
        <f t="shared" si="11"/>
        <v>#NUM!</v>
      </c>
      <c r="BI59" t="e">
        <f t="shared" si="11"/>
        <v>#NUM!</v>
      </c>
      <c r="BJ59" t="e">
        <f t="shared" si="11"/>
        <v>#NUM!</v>
      </c>
      <c r="BK59" t="e">
        <f t="shared" si="11"/>
        <v>#NUM!</v>
      </c>
      <c r="BL59" t="e">
        <f t="shared" si="11"/>
        <v>#NUM!</v>
      </c>
      <c r="BM59" t="e">
        <f t="shared" si="11"/>
        <v>#NUM!</v>
      </c>
      <c r="BN59" t="e">
        <f t="shared" si="11"/>
        <v>#NUM!</v>
      </c>
      <c r="BO59" t="e">
        <f t="shared" si="11"/>
        <v>#NUM!</v>
      </c>
      <c r="BP59" t="e">
        <f t="shared" si="11"/>
        <v>#NUM!</v>
      </c>
      <c r="BQ59" t="e">
        <f t="shared" si="11"/>
        <v>#NUM!</v>
      </c>
      <c r="BR59" t="e">
        <f t="shared" si="11"/>
        <v>#NUM!</v>
      </c>
      <c r="BS59" t="e">
        <f t="shared" si="11"/>
        <v>#NUM!</v>
      </c>
      <c r="BT59" t="e">
        <f t="shared" si="11"/>
        <v>#NUM!</v>
      </c>
      <c r="BU59" t="e">
        <f t="shared" si="11"/>
        <v>#NUM!</v>
      </c>
      <c r="BV59" t="e">
        <f t="shared" si="11"/>
        <v>#NUM!</v>
      </c>
      <c r="BW59" t="e">
        <f t="shared" si="11"/>
        <v>#NUM!</v>
      </c>
      <c r="BX59" t="e">
        <f t="shared" si="11"/>
        <v>#NUM!</v>
      </c>
      <c r="BY59" t="e">
        <f t="shared" si="11"/>
        <v>#NUM!</v>
      </c>
      <c r="BZ59" t="e">
        <f t="shared" si="11"/>
        <v>#NUM!</v>
      </c>
      <c r="CA59" t="e">
        <f t="shared" si="11"/>
        <v>#NUM!</v>
      </c>
      <c r="CB59" t="e">
        <f t="shared" si="11"/>
        <v>#NUM!</v>
      </c>
      <c r="CC59" t="e">
        <f t="shared" si="11"/>
        <v>#NUM!</v>
      </c>
      <c r="CD59" t="e">
        <f t="shared" si="11"/>
        <v>#NUM!</v>
      </c>
      <c r="CE59" t="e">
        <f t="shared" si="11"/>
        <v>#NUM!</v>
      </c>
      <c r="CF59" t="e">
        <f t="shared" si="11"/>
        <v>#NUM!</v>
      </c>
      <c r="CG59" t="e">
        <f t="shared" si="11"/>
        <v>#NUM!</v>
      </c>
      <c r="CH59" t="e">
        <f t="shared" si="11"/>
        <v>#NUM!</v>
      </c>
      <c r="CI59" t="e">
        <f t="shared" si="11"/>
        <v>#NUM!</v>
      </c>
      <c r="CJ59" t="e">
        <f t="shared" ref="CJ59:DP64" si="12">IF(CI$71=$T59,CI59-1,CI59)</f>
        <v>#NUM!</v>
      </c>
      <c r="CK59" t="e">
        <f t="shared" si="12"/>
        <v>#NUM!</v>
      </c>
      <c r="CL59" t="e">
        <f t="shared" si="12"/>
        <v>#NUM!</v>
      </c>
      <c r="CM59" t="e">
        <f t="shared" si="12"/>
        <v>#NUM!</v>
      </c>
      <c r="CN59" t="e">
        <f t="shared" si="12"/>
        <v>#NUM!</v>
      </c>
      <c r="CO59" t="e">
        <f t="shared" si="12"/>
        <v>#NUM!</v>
      </c>
      <c r="CP59" t="e">
        <f t="shared" si="12"/>
        <v>#NUM!</v>
      </c>
      <c r="CQ59" t="e">
        <f t="shared" si="12"/>
        <v>#NUM!</v>
      </c>
      <c r="CR59" t="e">
        <f t="shared" si="12"/>
        <v>#NUM!</v>
      </c>
      <c r="CS59" t="e">
        <f t="shared" si="12"/>
        <v>#NUM!</v>
      </c>
      <c r="CT59" t="e">
        <f t="shared" si="12"/>
        <v>#NUM!</v>
      </c>
      <c r="CU59" t="e">
        <f t="shared" si="12"/>
        <v>#NUM!</v>
      </c>
      <c r="CV59" t="e">
        <f t="shared" si="12"/>
        <v>#NUM!</v>
      </c>
      <c r="CW59" t="e">
        <f t="shared" si="12"/>
        <v>#NUM!</v>
      </c>
      <c r="CX59" t="e">
        <f t="shared" si="12"/>
        <v>#NUM!</v>
      </c>
      <c r="CY59" t="e">
        <f t="shared" si="12"/>
        <v>#NUM!</v>
      </c>
      <c r="CZ59" t="e">
        <f t="shared" si="12"/>
        <v>#NUM!</v>
      </c>
      <c r="DA59" t="e">
        <f t="shared" si="12"/>
        <v>#NUM!</v>
      </c>
      <c r="DB59" t="e">
        <f t="shared" si="12"/>
        <v>#NUM!</v>
      </c>
      <c r="DC59" t="e">
        <f t="shared" si="12"/>
        <v>#NUM!</v>
      </c>
      <c r="DD59" t="e">
        <f t="shared" si="12"/>
        <v>#NUM!</v>
      </c>
      <c r="DE59" t="e">
        <f t="shared" si="12"/>
        <v>#NUM!</v>
      </c>
      <c r="DF59" t="e">
        <f t="shared" si="12"/>
        <v>#NUM!</v>
      </c>
      <c r="DG59" t="e">
        <f t="shared" si="12"/>
        <v>#NUM!</v>
      </c>
      <c r="DH59" t="e">
        <f t="shared" si="12"/>
        <v>#NUM!</v>
      </c>
      <c r="DI59" t="e">
        <f t="shared" si="12"/>
        <v>#NUM!</v>
      </c>
      <c r="DJ59" t="e">
        <f t="shared" si="12"/>
        <v>#NUM!</v>
      </c>
      <c r="DK59" t="e">
        <f t="shared" si="12"/>
        <v>#NUM!</v>
      </c>
      <c r="DL59" t="e">
        <f t="shared" si="12"/>
        <v>#NUM!</v>
      </c>
      <c r="DM59" t="e">
        <f t="shared" si="12"/>
        <v>#NUM!</v>
      </c>
      <c r="DN59" t="e">
        <f t="shared" si="12"/>
        <v>#NUM!</v>
      </c>
      <c r="DO59" t="e">
        <f t="shared" si="12"/>
        <v>#NUM!</v>
      </c>
      <c r="DP59" t="e">
        <f t="shared" si="12"/>
        <v>#NUM!</v>
      </c>
      <c r="DQ59" t="s">
        <v>22</v>
      </c>
    </row>
    <row r="60" spans="13:121" x14ac:dyDescent="0.25">
      <c r="T60" t="s">
        <v>23</v>
      </c>
      <c r="U60">
        <f t="shared" ref="U60:U64" si="13">Q49</f>
        <v>0</v>
      </c>
      <c r="V60" t="e">
        <f t="shared" ref="V60:AK64" si="14">IF(U$71=$T60,U60-1,U60)</f>
        <v>#NUM!</v>
      </c>
      <c r="W60" t="e">
        <f>IF(V$71=$T60,V60-1,V60)</f>
        <v>#NUM!</v>
      </c>
      <c r="X60" t="e">
        <f t="shared" si="11"/>
        <v>#NUM!</v>
      </c>
      <c r="Y60" t="e">
        <f t="shared" si="11"/>
        <v>#NUM!</v>
      </c>
      <c r="Z60" t="e">
        <f t="shared" si="11"/>
        <v>#NUM!</v>
      </c>
      <c r="AA60" t="e">
        <f t="shared" si="11"/>
        <v>#NUM!</v>
      </c>
      <c r="AB60" t="e">
        <f t="shared" si="11"/>
        <v>#NUM!</v>
      </c>
      <c r="AC60" t="e">
        <f t="shared" si="11"/>
        <v>#NUM!</v>
      </c>
      <c r="AD60" t="e">
        <f t="shared" si="11"/>
        <v>#NUM!</v>
      </c>
      <c r="AE60" t="e">
        <f t="shared" si="11"/>
        <v>#NUM!</v>
      </c>
      <c r="AF60" t="e">
        <f t="shared" si="11"/>
        <v>#NUM!</v>
      </c>
      <c r="AG60" t="e">
        <f t="shared" si="11"/>
        <v>#NUM!</v>
      </c>
      <c r="AH60" t="e">
        <f t="shared" si="11"/>
        <v>#NUM!</v>
      </c>
      <c r="AI60" t="e">
        <f t="shared" si="11"/>
        <v>#NUM!</v>
      </c>
      <c r="AJ60" t="e">
        <f t="shared" si="11"/>
        <v>#NUM!</v>
      </c>
      <c r="AK60" t="e">
        <f t="shared" si="11"/>
        <v>#NUM!</v>
      </c>
      <c r="AL60" t="e">
        <f t="shared" si="11"/>
        <v>#NUM!</v>
      </c>
      <c r="AM60" t="e">
        <f t="shared" si="11"/>
        <v>#NUM!</v>
      </c>
      <c r="AN60" t="e">
        <f t="shared" si="11"/>
        <v>#NUM!</v>
      </c>
      <c r="AO60" t="e">
        <f t="shared" si="11"/>
        <v>#NUM!</v>
      </c>
      <c r="AP60" t="e">
        <f t="shared" si="11"/>
        <v>#NUM!</v>
      </c>
      <c r="AQ60" t="e">
        <f t="shared" si="11"/>
        <v>#NUM!</v>
      </c>
      <c r="AR60" t="e">
        <f t="shared" si="11"/>
        <v>#NUM!</v>
      </c>
      <c r="AS60" t="e">
        <f t="shared" si="11"/>
        <v>#NUM!</v>
      </c>
      <c r="AT60" t="e">
        <f t="shared" si="11"/>
        <v>#NUM!</v>
      </c>
      <c r="AU60" t="e">
        <f t="shared" si="11"/>
        <v>#NUM!</v>
      </c>
      <c r="AV60" t="e">
        <f t="shared" si="11"/>
        <v>#NUM!</v>
      </c>
      <c r="AW60" t="e">
        <f t="shared" si="11"/>
        <v>#NUM!</v>
      </c>
      <c r="AX60" t="e">
        <f t="shared" si="11"/>
        <v>#NUM!</v>
      </c>
      <c r="AY60" t="e">
        <f t="shared" si="11"/>
        <v>#NUM!</v>
      </c>
      <c r="AZ60" t="e">
        <f t="shared" si="11"/>
        <v>#NUM!</v>
      </c>
      <c r="BA60" t="e">
        <f t="shared" si="11"/>
        <v>#NUM!</v>
      </c>
      <c r="BB60" t="e">
        <f t="shared" si="11"/>
        <v>#NUM!</v>
      </c>
      <c r="BC60" t="e">
        <f t="shared" si="11"/>
        <v>#NUM!</v>
      </c>
      <c r="BD60" t="e">
        <f t="shared" si="11"/>
        <v>#NUM!</v>
      </c>
      <c r="BE60" t="e">
        <f t="shared" si="11"/>
        <v>#NUM!</v>
      </c>
      <c r="BF60" t="e">
        <f t="shared" si="11"/>
        <v>#NUM!</v>
      </c>
      <c r="BG60" t="e">
        <f t="shared" si="11"/>
        <v>#NUM!</v>
      </c>
      <c r="BH60" t="e">
        <f t="shared" si="11"/>
        <v>#NUM!</v>
      </c>
      <c r="BI60" t="e">
        <f t="shared" si="11"/>
        <v>#NUM!</v>
      </c>
      <c r="BJ60" t="e">
        <f t="shared" si="11"/>
        <v>#NUM!</v>
      </c>
      <c r="BK60" t="e">
        <f t="shared" si="11"/>
        <v>#NUM!</v>
      </c>
      <c r="BL60" t="e">
        <f t="shared" si="11"/>
        <v>#NUM!</v>
      </c>
      <c r="BM60" t="e">
        <f t="shared" si="11"/>
        <v>#NUM!</v>
      </c>
      <c r="BN60" t="e">
        <f t="shared" si="11"/>
        <v>#NUM!</v>
      </c>
      <c r="BO60" t="e">
        <f t="shared" si="11"/>
        <v>#NUM!</v>
      </c>
      <c r="BP60" t="e">
        <f t="shared" si="11"/>
        <v>#NUM!</v>
      </c>
      <c r="BQ60" t="e">
        <f t="shared" si="11"/>
        <v>#NUM!</v>
      </c>
      <c r="BR60" t="e">
        <f t="shared" si="11"/>
        <v>#NUM!</v>
      </c>
      <c r="BS60" t="e">
        <f t="shared" si="11"/>
        <v>#NUM!</v>
      </c>
      <c r="BT60" t="e">
        <f t="shared" si="11"/>
        <v>#NUM!</v>
      </c>
      <c r="BU60" t="e">
        <f t="shared" si="11"/>
        <v>#NUM!</v>
      </c>
      <c r="BV60" t="e">
        <f t="shared" si="11"/>
        <v>#NUM!</v>
      </c>
      <c r="BW60" t="e">
        <f t="shared" si="11"/>
        <v>#NUM!</v>
      </c>
      <c r="BX60" t="e">
        <f t="shared" si="11"/>
        <v>#NUM!</v>
      </c>
      <c r="BY60" t="e">
        <f t="shared" si="11"/>
        <v>#NUM!</v>
      </c>
      <c r="BZ60" t="e">
        <f t="shared" si="11"/>
        <v>#NUM!</v>
      </c>
      <c r="CA60" t="e">
        <f t="shared" si="11"/>
        <v>#NUM!</v>
      </c>
      <c r="CB60" t="e">
        <f t="shared" si="11"/>
        <v>#NUM!</v>
      </c>
      <c r="CC60" t="e">
        <f t="shared" si="11"/>
        <v>#NUM!</v>
      </c>
      <c r="CD60" t="e">
        <f t="shared" si="11"/>
        <v>#NUM!</v>
      </c>
      <c r="CE60" t="e">
        <f t="shared" si="11"/>
        <v>#NUM!</v>
      </c>
      <c r="CF60" t="e">
        <f t="shared" si="11"/>
        <v>#NUM!</v>
      </c>
      <c r="CG60" t="e">
        <f t="shared" si="11"/>
        <v>#NUM!</v>
      </c>
      <c r="CH60" t="e">
        <f t="shared" si="11"/>
        <v>#NUM!</v>
      </c>
      <c r="CI60" t="e">
        <f t="shared" si="11"/>
        <v>#NUM!</v>
      </c>
      <c r="CJ60" t="e">
        <f t="shared" si="12"/>
        <v>#NUM!</v>
      </c>
      <c r="CK60" t="e">
        <f t="shared" si="12"/>
        <v>#NUM!</v>
      </c>
      <c r="CL60" t="e">
        <f t="shared" si="12"/>
        <v>#NUM!</v>
      </c>
      <c r="CM60" t="e">
        <f t="shared" si="12"/>
        <v>#NUM!</v>
      </c>
      <c r="CN60" t="e">
        <f t="shared" si="12"/>
        <v>#NUM!</v>
      </c>
      <c r="CO60" t="e">
        <f t="shared" si="12"/>
        <v>#NUM!</v>
      </c>
      <c r="CP60" t="e">
        <f t="shared" si="12"/>
        <v>#NUM!</v>
      </c>
      <c r="CQ60" t="e">
        <f t="shared" si="12"/>
        <v>#NUM!</v>
      </c>
      <c r="CR60" t="e">
        <f t="shared" si="12"/>
        <v>#NUM!</v>
      </c>
      <c r="CS60" t="e">
        <f t="shared" si="12"/>
        <v>#NUM!</v>
      </c>
      <c r="CT60" t="e">
        <f t="shared" si="12"/>
        <v>#NUM!</v>
      </c>
      <c r="CU60" t="e">
        <f t="shared" si="12"/>
        <v>#NUM!</v>
      </c>
      <c r="CV60" t="e">
        <f t="shared" si="12"/>
        <v>#NUM!</v>
      </c>
      <c r="CW60" t="e">
        <f t="shared" si="12"/>
        <v>#NUM!</v>
      </c>
      <c r="CX60" t="e">
        <f t="shared" si="12"/>
        <v>#NUM!</v>
      </c>
      <c r="CY60" t="e">
        <f t="shared" si="12"/>
        <v>#NUM!</v>
      </c>
      <c r="CZ60" t="e">
        <f t="shared" si="12"/>
        <v>#NUM!</v>
      </c>
      <c r="DA60" t="e">
        <f t="shared" si="12"/>
        <v>#NUM!</v>
      </c>
      <c r="DB60" t="e">
        <f t="shared" si="12"/>
        <v>#NUM!</v>
      </c>
      <c r="DC60" t="e">
        <f t="shared" si="12"/>
        <v>#NUM!</v>
      </c>
      <c r="DD60" t="e">
        <f t="shared" si="12"/>
        <v>#NUM!</v>
      </c>
      <c r="DE60" t="e">
        <f t="shared" si="12"/>
        <v>#NUM!</v>
      </c>
      <c r="DF60" t="e">
        <f t="shared" si="12"/>
        <v>#NUM!</v>
      </c>
      <c r="DG60" t="e">
        <f t="shared" si="12"/>
        <v>#NUM!</v>
      </c>
      <c r="DH60" t="e">
        <f t="shared" si="12"/>
        <v>#NUM!</v>
      </c>
      <c r="DI60" t="e">
        <f t="shared" si="12"/>
        <v>#NUM!</v>
      </c>
      <c r="DJ60" t="e">
        <f t="shared" si="12"/>
        <v>#NUM!</v>
      </c>
      <c r="DK60" t="e">
        <f t="shared" si="12"/>
        <v>#NUM!</v>
      </c>
      <c r="DL60" t="e">
        <f t="shared" si="12"/>
        <v>#NUM!</v>
      </c>
      <c r="DM60" t="e">
        <f t="shared" si="12"/>
        <v>#NUM!</v>
      </c>
      <c r="DN60" t="e">
        <f t="shared" si="12"/>
        <v>#NUM!</v>
      </c>
      <c r="DO60" t="e">
        <f t="shared" si="12"/>
        <v>#NUM!</v>
      </c>
      <c r="DP60" t="e">
        <f t="shared" si="12"/>
        <v>#NUM!</v>
      </c>
      <c r="DQ60" t="s">
        <v>23</v>
      </c>
    </row>
    <row r="61" spans="13:121" x14ac:dyDescent="0.25">
      <c r="T61" t="s">
        <v>24</v>
      </c>
      <c r="U61">
        <f t="shared" si="13"/>
        <v>0</v>
      </c>
      <c r="V61" t="e">
        <f t="shared" si="14"/>
        <v>#NUM!</v>
      </c>
      <c r="W61" t="e">
        <f t="shared" si="14"/>
        <v>#NUM!</v>
      </c>
      <c r="X61" t="e">
        <f t="shared" si="11"/>
        <v>#NUM!</v>
      </c>
      <c r="Y61" t="e">
        <f t="shared" si="11"/>
        <v>#NUM!</v>
      </c>
      <c r="Z61" t="e">
        <f t="shared" si="11"/>
        <v>#NUM!</v>
      </c>
      <c r="AA61" t="e">
        <f t="shared" si="11"/>
        <v>#NUM!</v>
      </c>
      <c r="AB61" t="e">
        <f t="shared" si="11"/>
        <v>#NUM!</v>
      </c>
      <c r="AC61" t="e">
        <f t="shared" si="11"/>
        <v>#NUM!</v>
      </c>
      <c r="AD61" t="e">
        <f t="shared" si="11"/>
        <v>#NUM!</v>
      </c>
      <c r="AE61" t="e">
        <f t="shared" si="11"/>
        <v>#NUM!</v>
      </c>
      <c r="AF61" t="e">
        <f t="shared" si="11"/>
        <v>#NUM!</v>
      </c>
      <c r="AG61" t="e">
        <f t="shared" si="11"/>
        <v>#NUM!</v>
      </c>
      <c r="AH61" t="e">
        <f t="shared" si="11"/>
        <v>#NUM!</v>
      </c>
      <c r="AI61" t="e">
        <f t="shared" si="11"/>
        <v>#NUM!</v>
      </c>
      <c r="AJ61" t="e">
        <f t="shared" si="11"/>
        <v>#NUM!</v>
      </c>
      <c r="AK61" t="e">
        <f t="shared" si="11"/>
        <v>#NUM!</v>
      </c>
      <c r="AL61" t="e">
        <f t="shared" si="11"/>
        <v>#NUM!</v>
      </c>
      <c r="AM61" t="e">
        <f t="shared" si="11"/>
        <v>#NUM!</v>
      </c>
      <c r="AN61" t="e">
        <f t="shared" si="11"/>
        <v>#NUM!</v>
      </c>
      <c r="AO61" t="e">
        <f t="shared" si="11"/>
        <v>#NUM!</v>
      </c>
      <c r="AP61" t="e">
        <f t="shared" si="11"/>
        <v>#NUM!</v>
      </c>
      <c r="AQ61" t="e">
        <f t="shared" si="11"/>
        <v>#NUM!</v>
      </c>
      <c r="AR61" t="e">
        <f t="shared" si="11"/>
        <v>#NUM!</v>
      </c>
      <c r="AS61" t="e">
        <f t="shared" si="11"/>
        <v>#NUM!</v>
      </c>
      <c r="AT61" t="e">
        <f t="shared" si="11"/>
        <v>#NUM!</v>
      </c>
      <c r="AU61" t="e">
        <f t="shared" si="11"/>
        <v>#NUM!</v>
      </c>
      <c r="AV61" t="e">
        <f t="shared" si="11"/>
        <v>#NUM!</v>
      </c>
      <c r="AW61" t="e">
        <f t="shared" si="11"/>
        <v>#NUM!</v>
      </c>
      <c r="AX61" t="e">
        <f t="shared" si="11"/>
        <v>#NUM!</v>
      </c>
      <c r="AY61" t="e">
        <f t="shared" si="11"/>
        <v>#NUM!</v>
      </c>
      <c r="AZ61" t="e">
        <f t="shared" si="11"/>
        <v>#NUM!</v>
      </c>
      <c r="BA61" t="e">
        <f t="shared" si="11"/>
        <v>#NUM!</v>
      </c>
      <c r="BB61" t="e">
        <f t="shared" si="11"/>
        <v>#NUM!</v>
      </c>
      <c r="BC61" t="e">
        <f t="shared" si="11"/>
        <v>#NUM!</v>
      </c>
      <c r="BD61" t="e">
        <f t="shared" si="11"/>
        <v>#NUM!</v>
      </c>
      <c r="BE61" t="e">
        <f t="shared" si="11"/>
        <v>#NUM!</v>
      </c>
      <c r="BF61" t="e">
        <f t="shared" si="11"/>
        <v>#NUM!</v>
      </c>
      <c r="BG61" t="e">
        <f t="shared" si="11"/>
        <v>#NUM!</v>
      </c>
      <c r="BH61" t="e">
        <f t="shared" si="11"/>
        <v>#NUM!</v>
      </c>
      <c r="BI61" t="e">
        <f t="shared" si="11"/>
        <v>#NUM!</v>
      </c>
      <c r="BJ61" t="e">
        <f t="shared" si="11"/>
        <v>#NUM!</v>
      </c>
      <c r="BK61" t="e">
        <f t="shared" si="11"/>
        <v>#NUM!</v>
      </c>
      <c r="BL61" t="e">
        <f t="shared" si="11"/>
        <v>#NUM!</v>
      </c>
      <c r="BM61" t="e">
        <f t="shared" si="11"/>
        <v>#NUM!</v>
      </c>
      <c r="BN61" t="e">
        <f t="shared" si="11"/>
        <v>#NUM!</v>
      </c>
      <c r="BO61" t="e">
        <f t="shared" si="11"/>
        <v>#NUM!</v>
      </c>
      <c r="BP61" t="e">
        <f t="shared" si="11"/>
        <v>#NUM!</v>
      </c>
      <c r="BQ61" t="e">
        <f t="shared" si="11"/>
        <v>#NUM!</v>
      </c>
      <c r="BR61" t="e">
        <f t="shared" si="11"/>
        <v>#NUM!</v>
      </c>
      <c r="BS61" t="e">
        <f t="shared" si="11"/>
        <v>#NUM!</v>
      </c>
      <c r="BT61" t="e">
        <f t="shared" si="11"/>
        <v>#NUM!</v>
      </c>
      <c r="BU61" t="e">
        <f t="shared" si="11"/>
        <v>#NUM!</v>
      </c>
      <c r="BV61" t="e">
        <f t="shared" si="11"/>
        <v>#NUM!</v>
      </c>
      <c r="BW61" t="e">
        <f t="shared" si="11"/>
        <v>#NUM!</v>
      </c>
      <c r="BX61" t="e">
        <f t="shared" si="11"/>
        <v>#NUM!</v>
      </c>
      <c r="BY61" t="e">
        <f t="shared" si="11"/>
        <v>#NUM!</v>
      </c>
      <c r="BZ61" t="e">
        <f t="shared" si="11"/>
        <v>#NUM!</v>
      </c>
      <c r="CA61" t="e">
        <f t="shared" si="11"/>
        <v>#NUM!</v>
      </c>
      <c r="CB61" t="e">
        <f t="shared" si="11"/>
        <v>#NUM!</v>
      </c>
      <c r="CC61" t="e">
        <f t="shared" si="11"/>
        <v>#NUM!</v>
      </c>
      <c r="CD61" t="e">
        <f t="shared" si="11"/>
        <v>#NUM!</v>
      </c>
      <c r="CE61" t="e">
        <f t="shared" si="11"/>
        <v>#NUM!</v>
      </c>
      <c r="CF61" t="e">
        <f t="shared" si="11"/>
        <v>#NUM!</v>
      </c>
      <c r="CG61" t="e">
        <f t="shared" si="11"/>
        <v>#NUM!</v>
      </c>
      <c r="CH61" t="e">
        <f t="shared" si="11"/>
        <v>#NUM!</v>
      </c>
      <c r="CI61" t="e">
        <f t="shared" si="11"/>
        <v>#NUM!</v>
      </c>
      <c r="CJ61" t="e">
        <f t="shared" si="12"/>
        <v>#NUM!</v>
      </c>
      <c r="CK61" t="e">
        <f t="shared" si="12"/>
        <v>#NUM!</v>
      </c>
      <c r="CL61" t="e">
        <f t="shared" si="12"/>
        <v>#NUM!</v>
      </c>
      <c r="CM61" t="e">
        <f t="shared" si="12"/>
        <v>#NUM!</v>
      </c>
      <c r="CN61" t="e">
        <f t="shared" si="12"/>
        <v>#NUM!</v>
      </c>
      <c r="CO61" t="e">
        <f t="shared" si="12"/>
        <v>#NUM!</v>
      </c>
      <c r="CP61" t="e">
        <f t="shared" si="12"/>
        <v>#NUM!</v>
      </c>
      <c r="CQ61" t="e">
        <f t="shared" si="12"/>
        <v>#NUM!</v>
      </c>
      <c r="CR61" t="e">
        <f t="shared" si="12"/>
        <v>#NUM!</v>
      </c>
      <c r="CS61" t="e">
        <f t="shared" si="12"/>
        <v>#NUM!</v>
      </c>
      <c r="CT61" t="e">
        <f t="shared" si="12"/>
        <v>#NUM!</v>
      </c>
      <c r="CU61" t="e">
        <f t="shared" si="12"/>
        <v>#NUM!</v>
      </c>
      <c r="CV61" t="e">
        <f t="shared" si="12"/>
        <v>#NUM!</v>
      </c>
      <c r="CW61" t="e">
        <f t="shared" si="12"/>
        <v>#NUM!</v>
      </c>
      <c r="CX61" t="e">
        <f t="shared" si="12"/>
        <v>#NUM!</v>
      </c>
      <c r="CY61" t="e">
        <f t="shared" si="12"/>
        <v>#NUM!</v>
      </c>
      <c r="CZ61" t="e">
        <f t="shared" si="12"/>
        <v>#NUM!</v>
      </c>
      <c r="DA61" t="e">
        <f t="shared" si="12"/>
        <v>#NUM!</v>
      </c>
      <c r="DB61" t="e">
        <f t="shared" si="12"/>
        <v>#NUM!</v>
      </c>
      <c r="DC61" t="e">
        <f t="shared" si="12"/>
        <v>#NUM!</v>
      </c>
      <c r="DD61" t="e">
        <f t="shared" si="12"/>
        <v>#NUM!</v>
      </c>
      <c r="DE61" t="e">
        <f t="shared" si="12"/>
        <v>#NUM!</v>
      </c>
      <c r="DF61" t="e">
        <f t="shared" si="12"/>
        <v>#NUM!</v>
      </c>
      <c r="DG61" t="e">
        <f t="shared" si="12"/>
        <v>#NUM!</v>
      </c>
      <c r="DH61" t="e">
        <f t="shared" si="12"/>
        <v>#NUM!</v>
      </c>
      <c r="DI61" t="e">
        <f t="shared" si="12"/>
        <v>#NUM!</v>
      </c>
      <c r="DJ61" t="e">
        <f t="shared" si="12"/>
        <v>#NUM!</v>
      </c>
      <c r="DK61" t="e">
        <f t="shared" si="12"/>
        <v>#NUM!</v>
      </c>
      <c r="DL61" t="e">
        <f t="shared" si="12"/>
        <v>#NUM!</v>
      </c>
      <c r="DM61" t="e">
        <f t="shared" si="12"/>
        <v>#NUM!</v>
      </c>
      <c r="DN61" t="e">
        <f t="shared" si="12"/>
        <v>#NUM!</v>
      </c>
      <c r="DO61" t="e">
        <f t="shared" si="12"/>
        <v>#NUM!</v>
      </c>
      <c r="DP61" t="e">
        <f t="shared" si="12"/>
        <v>#NUM!</v>
      </c>
      <c r="DQ61" t="s">
        <v>24</v>
      </c>
    </row>
    <row r="62" spans="13:121" x14ac:dyDescent="0.25">
      <c r="T62" t="s">
        <v>25</v>
      </c>
      <c r="U62">
        <f t="shared" si="13"/>
        <v>0</v>
      </c>
      <c r="V62" t="e">
        <f t="shared" si="14"/>
        <v>#NUM!</v>
      </c>
      <c r="W62" t="e">
        <f t="shared" si="14"/>
        <v>#NUM!</v>
      </c>
      <c r="X62" t="e">
        <f t="shared" si="11"/>
        <v>#NUM!</v>
      </c>
      <c r="Y62" t="e">
        <f t="shared" si="11"/>
        <v>#NUM!</v>
      </c>
      <c r="Z62" t="e">
        <f t="shared" si="11"/>
        <v>#NUM!</v>
      </c>
      <c r="AA62" t="e">
        <f t="shared" si="11"/>
        <v>#NUM!</v>
      </c>
      <c r="AB62" t="e">
        <f t="shared" si="11"/>
        <v>#NUM!</v>
      </c>
      <c r="AC62" t="e">
        <f t="shared" si="11"/>
        <v>#NUM!</v>
      </c>
      <c r="AD62" t="e">
        <f t="shared" si="11"/>
        <v>#NUM!</v>
      </c>
      <c r="AE62" t="e">
        <f t="shared" si="11"/>
        <v>#NUM!</v>
      </c>
      <c r="AF62" t="e">
        <f t="shared" si="11"/>
        <v>#NUM!</v>
      </c>
      <c r="AG62" t="e">
        <f t="shared" si="11"/>
        <v>#NUM!</v>
      </c>
      <c r="AH62" t="e">
        <f t="shared" si="11"/>
        <v>#NUM!</v>
      </c>
      <c r="AI62" t="e">
        <f t="shared" si="11"/>
        <v>#NUM!</v>
      </c>
      <c r="AJ62" t="e">
        <f t="shared" si="11"/>
        <v>#NUM!</v>
      </c>
      <c r="AK62" t="e">
        <f t="shared" si="11"/>
        <v>#NUM!</v>
      </c>
      <c r="AL62" t="e">
        <f t="shared" si="11"/>
        <v>#NUM!</v>
      </c>
      <c r="AM62" t="e">
        <f t="shared" si="11"/>
        <v>#NUM!</v>
      </c>
      <c r="AN62" t="e">
        <f t="shared" si="11"/>
        <v>#NUM!</v>
      </c>
      <c r="AO62" t="e">
        <f t="shared" si="11"/>
        <v>#NUM!</v>
      </c>
      <c r="AP62" t="e">
        <f t="shared" si="11"/>
        <v>#NUM!</v>
      </c>
      <c r="AQ62" t="e">
        <f t="shared" si="11"/>
        <v>#NUM!</v>
      </c>
      <c r="AR62" t="e">
        <f t="shared" si="11"/>
        <v>#NUM!</v>
      </c>
      <c r="AS62" t="e">
        <f t="shared" si="11"/>
        <v>#NUM!</v>
      </c>
      <c r="AT62" t="e">
        <f t="shared" si="11"/>
        <v>#NUM!</v>
      </c>
      <c r="AU62" t="e">
        <f t="shared" si="11"/>
        <v>#NUM!</v>
      </c>
      <c r="AV62" t="e">
        <f t="shared" si="11"/>
        <v>#NUM!</v>
      </c>
      <c r="AW62" t="e">
        <f t="shared" si="11"/>
        <v>#NUM!</v>
      </c>
      <c r="AX62" t="e">
        <f t="shared" si="11"/>
        <v>#NUM!</v>
      </c>
      <c r="AY62" t="e">
        <f t="shared" si="11"/>
        <v>#NUM!</v>
      </c>
      <c r="AZ62" t="e">
        <f t="shared" si="11"/>
        <v>#NUM!</v>
      </c>
      <c r="BA62" t="e">
        <f t="shared" si="11"/>
        <v>#NUM!</v>
      </c>
      <c r="BB62" t="e">
        <f t="shared" si="11"/>
        <v>#NUM!</v>
      </c>
      <c r="BC62" t="e">
        <f t="shared" si="11"/>
        <v>#NUM!</v>
      </c>
      <c r="BD62" t="e">
        <f t="shared" si="11"/>
        <v>#NUM!</v>
      </c>
      <c r="BE62" t="e">
        <f t="shared" si="11"/>
        <v>#NUM!</v>
      </c>
      <c r="BF62" t="e">
        <f t="shared" si="11"/>
        <v>#NUM!</v>
      </c>
      <c r="BG62" t="e">
        <f t="shared" si="11"/>
        <v>#NUM!</v>
      </c>
      <c r="BH62" t="e">
        <f t="shared" si="11"/>
        <v>#NUM!</v>
      </c>
      <c r="BI62" t="e">
        <f t="shared" si="11"/>
        <v>#NUM!</v>
      </c>
      <c r="BJ62" t="e">
        <f t="shared" si="11"/>
        <v>#NUM!</v>
      </c>
      <c r="BK62" t="e">
        <f t="shared" si="11"/>
        <v>#NUM!</v>
      </c>
      <c r="BL62" t="e">
        <f t="shared" si="11"/>
        <v>#NUM!</v>
      </c>
      <c r="BM62" t="e">
        <f t="shared" si="11"/>
        <v>#NUM!</v>
      </c>
      <c r="BN62" t="e">
        <f t="shared" si="11"/>
        <v>#NUM!</v>
      </c>
      <c r="BO62" t="e">
        <f t="shared" si="11"/>
        <v>#NUM!</v>
      </c>
      <c r="BP62" t="e">
        <f t="shared" si="11"/>
        <v>#NUM!</v>
      </c>
      <c r="BQ62" t="e">
        <f t="shared" si="11"/>
        <v>#NUM!</v>
      </c>
      <c r="BR62" t="e">
        <f t="shared" si="11"/>
        <v>#NUM!</v>
      </c>
      <c r="BS62" t="e">
        <f t="shared" si="11"/>
        <v>#NUM!</v>
      </c>
      <c r="BT62" t="e">
        <f t="shared" si="11"/>
        <v>#NUM!</v>
      </c>
      <c r="BU62" t="e">
        <f t="shared" si="11"/>
        <v>#NUM!</v>
      </c>
      <c r="BV62" t="e">
        <f t="shared" si="11"/>
        <v>#NUM!</v>
      </c>
      <c r="BW62" t="e">
        <f t="shared" si="11"/>
        <v>#NUM!</v>
      </c>
      <c r="BX62" t="e">
        <f t="shared" si="11"/>
        <v>#NUM!</v>
      </c>
      <c r="BY62" t="e">
        <f t="shared" si="11"/>
        <v>#NUM!</v>
      </c>
      <c r="BZ62" t="e">
        <f t="shared" si="11"/>
        <v>#NUM!</v>
      </c>
      <c r="CA62" t="e">
        <f t="shared" si="11"/>
        <v>#NUM!</v>
      </c>
      <c r="CB62" t="e">
        <f t="shared" si="11"/>
        <v>#NUM!</v>
      </c>
      <c r="CC62" t="e">
        <f t="shared" si="11"/>
        <v>#NUM!</v>
      </c>
      <c r="CD62" t="e">
        <f t="shared" si="11"/>
        <v>#NUM!</v>
      </c>
      <c r="CE62" t="e">
        <f t="shared" si="11"/>
        <v>#NUM!</v>
      </c>
      <c r="CF62" t="e">
        <f t="shared" si="11"/>
        <v>#NUM!</v>
      </c>
      <c r="CG62" t="e">
        <f t="shared" si="11"/>
        <v>#NUM!</v>
      </c>
      <c r="CH62" t="e">
        <f t="shared" si="11"/>
        <v>#NUM!</v>
      </c>
      <c r="CI62" t="e">
        <f t="shared" ref="CI62:CM62" si="15">IF(CH$71=$T62,CH62-1,CH62)</f>
        <v>#NUM!</v>
      </c>
      <c r="CJ62" t="e">
        <f t="shared" si="15"/>
        <v>#NUM!</v>
      </c>
      <c r="CK62" t="e">
        <f t="shared" si="15"/>
        <v>#NUM!</v>
      </c>
      <c r="CL62" t="e">
        <f t="shared" si="15"/>
        <v>#NUM!</v>
      </c>
      <c r="CM62" t="e">
        <f t="shared" si="15"/>
        <v>#NUM!</v>
      </c>
      <c r="CN62" t="e">
        <f t="shared" si="12"/>
        <v>#NUM!</v>
      </c>
      <c r="CO62" t="e">
        <f t="shared" si="12"/>
        <v>#NUM!</v>
      </c>
      <c r="CP62" t="e">
        <f t="shared" si="12"/>
        <v>#NUM!</v>
      </c>
      <c r="CQ62" t="e">
        <f t="shared" si="12"/>
        <v>#NUM!</v>
      </c>
      <c r="CR62" t="e">
        <f t="shared" si="12"/>
        <v>#NUM!</v>
      </c>
      <c r="CS62" t="e">
        <f t="shared" si="12"/>
        <v>#NUM!</v>
      </c>
      <c r="CT62" t="e">
        <f t="shared" si="12"/>
        <v>#NUM!</v>
      </c>
      <c r="CU62" t="e">
        <f t="shared" si="12"/>
        <v>#NUM!</v>
      </c>
      <c r="CV62" t="e">
        <f t="shared" si="12"/>
        <v>#NUM!</v>
      </c>
      <c r="CW62" t="e">
        <f t="shared" si="12"/>
        <v>#NUM!</v>
      </c>
      <c r="CX62" t="e">
        <f t="shared" si="12"/>
        <v>#NUM!</v>
      </c>
      <c r="CY62" t="e">
        <f t="shared" si="12"/>
        <v>#NUM!</v>
      </c>
      <c r="CZ62" t="e">
        <f t="shared" si="12"/>
        <v>#NUM!</v>
      </c>
      <c r="DA62" t="e">
        <f t="shared" si="12"/>
        <v>#NUM!</v>
      </c>
      <c r="DB62" t="e">
        <f t="shared" si="12"/>
        <v>#NUM!</v>
      </c>
      <c r="DC62" t="e">
        <f t="shared" si="12"/>
        <v>#NUM!</v>
      </c>
      <c r="DD62" t="e">
        <f t="shared" si="12"/>
        <v>#NUM!</v>
      </c>
      <c r="DE62" t="e">
        <f t="shared" si="12"/>
        <v>#NUM!</v>
      </c>
      <c r="DF62" t="e">
        <f t="shared" si="12"/>
        <v>#NUM!</v>
      </c>
      <c r="DG62" t="e">
        <f t="shared" si="12"/>
        <v>#NUM!</v>
      </c>
      <c r="DH62" t="e">
        <f t="shared" si="12"/>
        <v>#NUM!</v>
      </c>
      <c r="DI62" t="e">
        <f t="shared" si="12"/>
        <v>#NUM!</v>
      </c>
      <c r="DJ62" t="e">
        <f>IF(DI$71=$T62,DI62-1,DI62)</f>
        <v>#NUM!</v>
      </c>
      <c r="DK62" t="e">
        <f t="shared" si="12"/>
        <v>#NUM!</v>
      </c>
      <c r="DL62" t="e">
        <f t="shared" si="12"/>
        <v>#NUM!</v>
      </c>
      <c r="DM62" t="e">
        <f t="shared" si="12"/>
        <v>#NUM!</v>
      </c>
      <c r="DN62" t="e">
        <f t="shared" si="12"/>
        <v>#NUM!</v>
      </c>
      <c r="DO62" t="e">
        <f t="shared" si="12"/>
        <v>#NUM!</v>
      </c>
      <c r="DP62" t="e">
        <f t="shared" si="12"/>
        <v>#NUM!</v>
      </c>
      <c r="DQ62" t="s">
        <v>25</v>
      </c>
    </row>
    <row r="63" spans="13:121" x14ac:dyDescent="0.25">
      <c r="T63" t="s">
        <v>26</v>
      </c>
      <c r="U63">
        <f t="shared" si="13"/>
        <v>0</v>
      </c>
      <c r="V63" t="e">
        <f t="shared" si="14"/>
        <v>#NUM!</v>
      </c>
      <c r="W63" t="e">
        <f t="shared" si="14"/>
        <v>#NUM!</v>
      </c>
      <c r="X63" t="e">
        <f t="shared" si="14"/>
        <v>#NUM!</v>
      </c>
      <c r="Y63" t="e">
        <f t="shared" si="14"/>
        <v>#NUM!</v>
      </c>
      <c r="Z63" t="e">
        <f t="shared" si="14"/>
        <v>#NUM!</v>
      </c>
      <c r="AA63" t="e">
        <f t="shared" si="14"/>
        <v>#NUM!</v>
      </c>
      <c r="AB63" t="e">
        <f t="shared" si="14"/>
        <v>#NUM!</v>
      </c>
      <c r="AC63" t="e">
        <f t="shared" si="14"/>
        <v>#NUM!</v>
      </c>
      <c r="AD63" t="e">
        <f t="shared" si="14"/>
        <v>#NUM!</v>
      </c>
      <c r="AE63" t="e">
        <f t="shared" si="14"/>
        <v>#NUM!</v>
      </c>
      <c r="AF63" t="e">
        <f t="shared" si="14"/>
        <v>#NUM!</v>
      </c>
      <c r="AG63" t="e">
        <f t="shared" si="14"/>
        <v>#NUM!</v>
      </c>
      <c r="AH63" t="e">
        <f t="shared" si="14"/>
        <v>#NUM!</v>
      </c>
      <c r="AI63" t="e">
        <f t="shared" si="14"/>
        <v>#NUM!</v>
      </c>
      <c r="AJ63" t="e">
        <f t="shared" si="14"/>
        <v>#NUM!</v>
      </c>
      <c r="AK63" t="e">
        <f t="shared" si="14"/>
        <v>#NUM!</v>
      </c>
      <c r="AL63" t="e">
        <f t="shared" ref="AL63:CM64" si="16">IF(AK$71=$T63,AK63-1,AK63)</f>
        <v>#NUM!</v>
      </c>
      <c r="AM63" t="e">
        <f t="shared" si="16"/>
        <v>#NUM!</v>
      </c>
      <c r="AN63" t="e">
        <f t="shared" si="16"/>
        <v>#NUM!</v>
      </c>
      <c r="AO63" t="e">
        <f t="shared" si="16"/>
        <v>#NUM!</v>
      </c>
      <c r="AP63" t="e">
        <f t="shared" si="16"/>
        <v>#NUM!</v>
      </c>
      <c r="AQ63" t="e">
        <f t="shared" si="16"/>
        <v>#NUM!</v>
      </c>
      <c r="AR63" t="e">
        <f t="shared" si="16"/>
        <v>#NUM!</v>
      </c>
      <c r="AS63" t="e">
        <f t="shared" si="16"/>
        <v>#NUM!</v>
      </c>
      <c r="AT63" t="e">
        <f t="shared" si="16"/>
        <v>#NUM!</v>
      </c>
      <c r="AU63" t="e">
        <f t="shared" si="16"/>
        <v>#NUM!</v>
      </c>
      <c r="AV63" t="e">
        <f t="shared" si="16"/>
        <v>#NUM!</v>
      </c>
      <c r="AW63" t="e">
        <f t="shared" si="16"/>
        <v>#NUM!</v>
      </c>
      <c r="AX63" t="e">
        <f t="shared" si="16"/>
        <v>#NUM!</v>
      </c>
      <c r="AY63" t="e">
        <f t="shared" si="16"/>
        <v>#NUM!</v>
      </c>
      <c r="AZ63" t="e">
        <f t="shared" si="16"/>
        <v>#NUM!</v>
      </c>
      <c r="BA63" t="e">
        <f t="shared" si="16"/>
        <v>#NUM!</v>
      </c>
      <c r="BB63" t="e">
        <f t="shared" si="16"/>
        <v>#NUM!</v>
      </c>
      <c r="BC63" t="e">
        <f t="shared" si="16"/>
        <v>#NUM!</v>
      </c>
      <c r="BD63" t="e">
        <f t="shared" si="16"/>
        <v>#NUM!</v>
      </c>
      <c r="BE63" t="e">
        <f t="shared" si="16"/>
        <v>#NUM!</v>
      </c>
      <c r="BF63" t="e">
        <f t="shared" si="16"/>
        <v>#NUM!</v>
      </c>
      <c r="BG63" t="e">
        <f t="shared" si="16"/>
        <v>#NUM!</v>
      </c>
      <c r="BH63" t="e">
        <f t="shared" si="16"/>
        <v>#NUM!</v>
      </c>
      <c r="BI63" t="e">
        <f t="shared" si="16"/>
        <v>#NUM!</v>
      </c>
      <c r="BJ63" t="e">
        <f t="shared" si="16"/>
        <v>#NUM!</v>
      </c>
      <c r="BK63" t="e">
        <f t="shared" si="16"/>
        <v>#NUM!</v>
      </c>
      <c r="BL63" t="e">
        <f t="shared" si="16"/>
        <v>#NUM!</v>
      </c>
      <c r="BM63" t="e">
        <f t="shared" si="16"/>
        <v>#NUM!</v>
      </c>
      <c r="BN63" t="e">
        <f t="shared" si="16"/>
        <v>#NUM!</v>
      </c>
      <c r="BO63" t="e">
        <f t="shared" si="16"/>
        <v>#NUM!</v>
      </c>
      <c r="BP63" t="e">
        <f t="shared" si="16"/>
        <v>#NUM!</v>
      </c>
      <c r="BQ63" t="e">
        <f t="shared" si="16"/>
        <v>#NUM!</v>
      </c>
      <c r="BR63" t="e">
        <f t="shared" si="16"/>
        <v>#NUM!</v>
      </c>
      <c r="BS63" t="e">
        <f t="shared" si="16"/>
        <v>#NUM!</v>
      </c>
      <c r="BT63" t="e">
        <f t="shared" si="16"/>
        <v>#NUM!</v>
      </c>
      <c r="BU63" t="e">
        <f t="shared" si="16"/>
        <v>#NUM!</v>
      </c>
      <c r="BV63" t="e">
        <f t="shared" si="16"/>
        <v>#NUM!</v>
      </c>
      <c r="BW63" t="e">
        <f t="shared" si="16"/>
        <v>#NUM!</v>
      </c>
      <c r="BX63" t="e">
        <f t="shared" si="16"/>
        <v>#NUM!</v>
      </c>
      <c r="BY63" t="e">
        <f t="shared" si="16"/>
        <v>#NUM!</v>
      </c>
      <c r="BZ63" t="e">
        <f t="shared" si="16"/>
        <v>#NUM!</v>
      </c>
      <c r="CA63" t="e">
        <f t="shared" si="16"/>
        <v>#NUM!</v>
      </c>
      <c r="CB63" t="e">
        <f t="shared" si="16"/>
        <v>#NUM!</v>
      </c>
      <c r="CC63" t="e">
        <f t="shared" si="16"/>
        <v>#NUM!</v>
      </c>
      <c r="CD63" t="e">
        <f t="shared" si="16"/>
        <v>#NUM!</v>
      </c>
      <c r="CE63" t="e">
        <f t="shared" si="16"/>
        <v>#NUM!</v>
      </c>
      <c r="CF63" t="e">
        <f t="shared" si="16"/>
        <v>#NUM!</v>
      </c>
      <c r="CG63" t="e">
        <f t="shared" si="16"/>
        <v>#NUM!</v>
      </c>
      <c r="CH63" t="e">
        <f t="shared" si="16"/>
        <v>#NUM!</v>
      </c>
      <c r="CI63" t="e">
        <f t="shared" si="16"/>
        <v>#NUM!</v>
      </c>
      <c r="CJ63" t="e">
        <f t="shared" si="16"/>
        <v>#NUM!</v>
      </c>
      <c r="CK63" t="e">
        <f t="shared" si="16"/>
        <v>#NUM!</v>
      </c>
      <c r="CL63" t="e">
        <f t="shared" si="16"/>
        <v>#NUM!</v>
      </c>
      <c r="CM63" t="e">
        <f t="shared" si="16"/>
        <v>#NUM!</v>
      </c>
      <c r="CN63" t="e">
        <f t="shared" si="12"/>
        <v>#NUM!</v>
      </c>
      <c r="CO63" t="e">
        <f t="shared" si="12"/>
        <v>#NUM!</v>
      </c>
      <c r="CP63" t="e">
        <f t="shared" si="12"/>
        <v>#NUM!</v>
      </c>
      <c r="CQ63" t="e">
        <f t="shared" si="12"/>
        <v>#NUM!</v>
      </c>
      <c r="CR63" t="e">
        <f t="shared" si="12"/>
        <v>#NUM!</v>
      </c>
      <c r="CS63" t="e">
        <f t="shared" si="12"/>
        <v>#NUM!</v>
      </c>
      <c r="CT63" t="e">
        <f t="shared" si="12"/>
        <v>#NUM!</v>
      </c>
      <c r="CU63" t="e">
        <f t="shared" si="12"/>
        <v>#NUM!</v>
      </c>
      <c r="CV63" t="e">
        <f t="shared" si="12"/>
        <v>#NUM!</v>
      </c>
      <c r="CW63" t="e">
        <f t="shared" si="12"/>
        <v>#NUM!</v>
      </c>
      <c r="CX63" t="e">
        <f t="shared" si="12"/>
        <v>#NUM!</v>
      </c>
      <c r="CY63" t="e">
        <f t="shared" si="12"/>
        <v>#NUM!</v>
      </c>
      <c r="CZ63" t="e">
        <f t="shared" si="12"/>
        <v>#NUM!</v>
      </c>
      <c r="DA63" t="e">
        <f t="shared" si="12"/>
        <v>#NUM!</v>
      </c>
      <c r="DB63" t="e">
        <f t="shared" si="12"/>
        <v>#NUM!</v>
      </c>
      <c r="DC63" t="e">
        <f t="shared" si="12"/>
        <v>#NUM!</v>
      </c>
      <c r="DD63" t="e">
        <f t="shared" si="12"/>
        <v>#NUM!</v>
      </c>
      <c r="DE63" t="e">
        <f t="shared" si="12"/>
        <v>#NUM!</v>
      </c>
      <c r="DF63" t="e">
        <f t="shared" si="12"/>
        <v>#NUM!</v>
      </c>
      <c r="DG63" t="e">
        <f t="shared" si="12"/>
        <v>#NUM!</v>
      </c>
      <c r="DH63" t="e">
        <f t="shared" si="12"/>
        <v>#NUM!</v>
      </c>
      <c r="DI63" t="e">
        <f t="shared" si="12"/>
        <v>#NUM!</v>
      </c>
      <c r="DJ63" t="e">
        <f t="shared" si="12"/>
        <v>#NUM!</v>
      </c>
      <c r="DK63" t="e">
        <f t="shared" si="12"/>
        <v>#NUM!</v>
      </c>
      <c r="DL63" t="e">
        <f t="shared" si="12"/>
        <v>#NUM!</v>
      </c>
      <c r="DM63" t="e">
        <f t="shared" si="12"/>
        <v>#NUM!</v>
      </c>
      <c r="DN63" t="e">
        <f t="shared" si="12"/>
        <v>#NUM!</v>
      </c>
      <c r="DO63" t="e">
        <f t="shared" si="12"/>
        <v>#NUM!</v>
      </c>
      <c r="DP63" t="e">
        <f t="shared" si="12"/>
        <v>#NUM!</v>
      </c>
      <c r="DQ63" t="s">
        <v>26</v>
      </c>
    </row>
    <row r="64" spans="13:121" x14ac:dyDescent="0.25">
      <c r="T64" t="s">
        <v>27</v>
      </c>
      <c r="U64">
        <f t="shared" si="13"/>
        <v>0</v>
      </c>
      <c r="V64" t="e">
        <f t="shared" si="14"/>
        <v>#NUM!</v>
      </c>
      <c r="W64" t="e">
        <f t="shared" si="14"/>
        <v>#NUM!</v>
      </c>
      <c r="X64" t="e">
        <f t="shared" si="14"/>
        <v>#NUM!</v>
      </c>
      <c r="Y64" t="e">
        <f t="shared" si="14"/>
        <v>#NUM!</v>
      </c>
      <c r="Z64" t="e">
        <f t="shared" si="14"/>
        <v>#NUM!</v>
      </c>
      <c r="AA64" t="e">
        <f t="shared" si="14"/>
        <v>#NUM!</v>
      </c>
      <c r="AB64" t="e">
        <f t="shared" si="14"/>
        <v>#NUM!</v>
      </c>
      <c r="AC64" t="e">
        <f t="shared" si="14"/>
        <v>#NUM!</v>
      </c>
      <c r="AD64" t="e">
        <f t="shared" si="14"/>
        <v>#NUM!</v>
      </c>
      <c r="AE64" t="e">
        <f t="shared" si="14"/>
        <v>#NUM!</v>
      </c>
      <c r="AF64" t="e">
        <f t="shared" si="14"/>
        <v>#NUM!</v>
      </c>
      <c r="AG64" t="e">
        <f t="shared" si="14"/>
        <v>#NUM!</v>
      </c>
      <c r="AH64" t="e">
        <f t="shared" si="14"/>
        <v>#NUM!</v>
      </c>
      <c r="AI64" t="e">
        <f t="shared" si="14"/>
        <v>#NUM!</v>
      </c>
      <c r="AJ64" t="e">
        <f t="shared" si="14"/>
        <v>#NUM!</v>
      </c>
      <c r="AK64" t="e">
        <f t="shared" si="14"/>
        <v>#NUM!</v>
      </c>
      <c r="AL64" t="e">
        <f t="shared" si="16"/>
        <v>#NUM!</v>
      </c>
      <c r="AM64" t="e">
        <f t="shared" si="16"/>
        <v>#NUM!</v>
      </c>
      <c r="AN64" t="e">
        <f t="shared" si="16"/>
        <v>#NUM!</v>
      </c>
      <c r="AO64" t="e">
        <f t="shared" si="16"/>
        <v>#NUM!</v>
      </c>
      <c r="AP64" t="e">
        <f t="shared" si="16"/>
        <v>#NUM!</v>
      </c>
      <c r="AQ64" t="e">
        <f t="shared" si="16"/>
        <v>#NUM!</v>
      </c>
      <c r="AR64" t="e">
        <f t="shared" si="16"/>
        <v>#NUM!</v>
      </c>
      <c r="AS64" t="e">
        <f t="shared" si="16"/>
        <v>#NUM!</v>
      </c>
      <c r="AT64" t="e">
        <f t="shared" si="16"/>
        <v>#NUM!</v>
      </c>
      <c r="AU64" t="e">
        <f t="shared" si="16"/>
        <v>#NUM!</v>
      </c>
      <c r="AV64" t="e">
        <f t="shared" si="16"/>
        <v>#NUM!</v>
      </c>
      <c r="AW64" t="e">
        <f t="shared" si="16"/>
        <v>#NUM!</v>
      </c>
      <c r="AX64" t="e">
        <f t="shared" si="16"/>
        <v>#NUM!</v>
      </c>
      <c r="AY64" t="e">
        <f t="shared" si="16"/>
        <v>#NUM!</v>
      </c>
      <c r="AZ64" t="e">
        <f t="shared" si="16"/>
        <v>#NUM!</v>
      </c>
      <c r="BA64" t="e">
        <f t="shared" si="16"/>
        <v>#NUM!</v>
      </c>
      <c r="BB64" t="e">
        <f t="shared" si="16"/>
        <v>#NUM!</v>
      </c>
      <c r="BC64" t="e">
        <f t="shared" si="16"/>
        <v>#NUM!</v>
      </c>
      <c r="BD64" t="e">
        <f t="shared" si="16"/>
        <v>#NUM!</v>
      </c>
      <c r="BE64" t="e">
        <f t="shared" si="16"/>
        <v>#NUM!</v>
      </c>
      <c r="BF64" t="e">
        <f t="shared" si="16"/>
        <v>#NUM!</v>
      </c>
      <c r="BG64" t="e">
        <f t="shared" si="16"/>
        <v>#NUM!</v>
      </c>
      <c r="BH64" t="e">
        <f t="shared" si="16"/>
        <v>#NUM!</v>
      </c>
      <c r="BI64" t="e">
        <f t="shared" si="16"/>
        <v>#NUM!</v>
      </c>
      <c r="BJ64" t="e">
        <f t="shared" si="16"/>
        <v>#NUM!</v>
      </c>
      <c r="BK64" t="e">
        <f t="shared" si="16"/>
        <v>#NUM!</v>
      </c>
      <c r="BL64" t="e">
        <f t="shared" si="16"/>
        <v>#NUM!</v>
      </c>
      <c r="BM64" t="e">
        <f t="shared" si="16"/>
        <v>#NUM!</v>
      </c>
      <c r="BN64" t="e">
        <f t="shared" si="16"/>
        <v>#NUM!</v>
      </c>
      <c r="BO64" t="e">
        <f t="shared" si="16"/>
        <v>#NUM!</v>
      </c>
      <c r="BP64" t="e">
        <f t="shared" si="16"/>
        <v>#NUM!</v>
      </c>
      <c r="BQ64" t="e">
        <f t="shared" si="16"/>
        <v>#NUM!</v>
      </c>
      <c r="BR64" t="e">
        <f t="shared" si="16"/>
        <v>#NUM!</v>
      </c>
      <c r="BS64" t="e">
        <f t="shared" si="16"/>
        <v>#NUM!</v>
      </c>
      <c r="BT64" t="e">
        <f t="shared" si="16"/>
        <v>#NUM!</v>
      </c>
      <c r="BU64" t="e">
        <f t="shared" si="16"/>
        <v>#NUM!</v>
      </c>
      <c r="BV64" t="e">
        <f t="shared" si="16"/>
        <v>#NUM!</v>
      </c>
      <c r="BW64" t="e">
        <f t="shared" si="16"/>
        <v>#NUM!</v>
      </c>
      <c r="BX64" t="e">
        <f t="shared" si="16"/>
        <v>#NUM!</v>
      </c>
      <c r="BY64" t="e">
        <f t="shared" si="16"/>
        <v>#NUM!</v>
      </c>
      <c r="BZ64" t="e">
        <f t="shared" si="16"/>
        <v>#NUM!</v>
      </c>
      <c r="CA64" t="e">
        <f t="shared" si="16"/>
        <v>#NUM!</v>
      </c>
      <c r="CB64" t="e">
        <f t="shared" si="16"/>
        <v>#NUM!</v>
      </c>
      <c r="CC64" t="e">
        <f t="shared" si="16"/>
        <v>#NUM!</v>
      </c>
      <c r="CD64" t="e">
        <f t="shared" si="16"/>
        <v>#NUM!</v>
      </c>
      <c r="CE64" t="e">
        <f t="shared" si="16"/>
        <v>#NUM!</v>
      </c>
      <c r="CF64" t="e">
        <f t="shared" si="16"/>
        <v>#NUM!</v>
      </c>
      <c r="CG64" t="e">
        <f t="shared" si="16"/>
        <v>#NUM!</v>
      </c>
      <c r="CH64" t="e">
        <f t="shared" si="16"/>
        <v>#NUM!</v>
      </c>
      <c r="CI64" t="e">
        <f t="shared" si="16"/>
        <v>#NUM!</v>
      </c>
      <c r="CJ64" t="e">
        <f t="shared" si="16"/>
        <v>#NUM!</v>
      </c>
      <c r="CK64" t="e">
        <f t="shared" si="16"/>
        <v>#NUM!</v>
      </c>
      <c r="CL64" t="e">
        <f t="shared" si="16"/>
        <v>#NUM!</v>
      </c>
      <c r="CM64" t="e">
        <f t="shared" si="16"/>
        <v>#NUM!</v>
      </c>
      <c r="CN64" t="e">
        <f t="shared" si="12"/>
        <v>#NUM!</v>
      </c>
      <c r="CO64" t="e">
        <f t="shared" si="12"/>
        <v>#NUM!</v>
      </c>
      <c r="CP64" t="e">
        <f t="shared" si="12"/>
        <v>#NUM!</v>
      </c>
      <c r="CQ64" t="e">
        <f t="shared" si="12"/>
        <v>#NUM!</v>
      </c>
      <c r="CR64" t="e">
        <f t="shared" si="12"/>
        <v>#NUM!</v>
      </c>
      <c r="CS64" t="e">
        <f t="shared" si="12"/>
        <v>#NUM!</v>
      </c>
      <c r="CT64" t="e">
        <f t="shared" si="12"/>
        <v>#NUM!</v>
      </c>
      <c r="CU64" t="e">
        <f t="shared" si="12"/>
        <v>#NUM!</v>
      </c>
      <c r="CV64" t="e">
        <f t="shared" si="12"/>
        <v>#NUM!</v>
      </c>
      <c r="CW64" t="e">
        <f t="shared" si="12"/>
        <v>#NUM!</v>
      </c>
      <c r="CX64" t="e">
        <f t="shared" si="12"/>
        <v>#NUM!</v>
      </c>
      <c r="CY64" t="e">
        <f t="shared" si="12"/>
        <v>#NUM!</v>
      </c>
      <c r="CZ64" t="e">
        <f t="shared" si="12"/>
        <v>#NUM!</v>
      </c>
      <c r="DA64" t="e">
        <f t="shared" si="12"/>
        <v>#NUM!</v>
      </c>
      <c r="DB64" t="e">
        <f t="shared" si="12"/>
        <v>#NUM!</v>
      </c>
      <c r="DC64" t="e">
        <f t="shared" si="12"/>
        <v>#NUM!</v>
      </c>
      <c r="DD64" t="e">
        <f t="shared" si="12"/>
        <v>#NUM!</v>
      </c>
      <c r="DE64" t="e">
        <f t="shared" si="12"/>
        <v>#NUM!</v>
      </c>
      <c r="DF64" t="e">
        <f t="shared" si="12"/>
        <v>#NUM!</v>
      </c>
      <c r="DG64" t="e">
        <f t="shared" si="12"/>
        <v>#NUM!</v>
      </c>
      <c r="DH64" t="e">
        <f t="shared" si="12"/>
        <v>#NUM!</v>
      </c>
      <c r="DI64" t="e">
        <f t="shared" si="12"/>
        <v>#NUM!</v>
      </c>
      <c r="DJ64" t="e">
        <f t="shared" si="12"/>
        <v>#NUM!</v>
      </c>
      <c r="DK64" t="e">
        <f t="shared" si="12"/>
        <v>#NUM!</v>
      </c>
      <c r="DL64" t="e">
        <f t="shared" si="12"/>
        <v>#NUM!</v>
      </c>
      <c r="DM64" t="e">
        <f t="shared" si="12"/>
        <v>#NUM!</v>
      </c>
      <c r="DN64" t="e">
        <f t="shared" si="12"/>
        <v>#NUM!</v>
      </c>
      <c r="DO64" t="e">
        <f t="shared" si="12"/>
        <v>#NUM!</v>
      </c>
      <c r="DP64" t="e">
        <f t="shared" si="12"/>
        <v>#NUM!</v>
      </c>
      <c r="DQ64" t="s">
        <v>27</v>
      </c>
    </row>
    <row r="66" spans="20:121" x14ac:dyDescent="0.25">
      <c r="T66" t="s">
        <v>15</v>
      </c>
      <c r="U66">
        <f>Q55</f>
        <v>0</v>
      </c>
      <c r="V66">
        <f>IF(U$73=$T66,U66-1,U66)</f>
        <v>-1</v>
      </c>
      <c r="W66">
        <f>IF(V$73=$T66,V66-1,V66)</f>
        <v>-1</v>
      </c>
      <c r="X66">
        <f t="shared" ref="X66:CI68" si="17">IF(W$73=$T66,W66-1,W66)</f>
        <v>-1</v>
      </c>
      <c r="Y66">
        <f t="shared" si="17"/>
        <v>-2</v>
      </c>
      <c r="Z66">
        <f t="shared" si="17"/>
        <v>-2</v>
      </c>
      <c r="AA66">
        <f t="shared" si="17"/>
        <v>-2</v>
      </c>
      <c r="AB66">
        <f t="shared" si="17"/>
        <v>-3</v>
      </c>
      <c r="AC66">
        <f t="shared" si="17"/>
        <v>-3</v>
      </c>
      <c r="AD66">
        <f t="shared" si="17"/>
        <v>-3</v>
      </c>
      <c r="AE66">
        <f t="shared" si="17"/>
        <v>-4</v>
      </c>
      <c r="AF66">
        <f t="shared" si="17"/>
        <v>-4</v>
      </c>
      <c r="AG66">
        <f t="shared" si="17"/>
        <v>-4</v>
      </c>
      <c r="AH66">
        <f t="shared" si="17"/>
        <v>-5</v>
      </c>
      <c r="AI66">
        <f t="shared" si="17"/>
        <v>-5</v>
      </c>
      <c r="AJ66">
        <f t="shared" si="17"/>
        <v>-5</v>
      </c>
      <c r="AK66">
        <f t="shared" si="17"/>
        <v>-6</v>
      </c>
      <c r="AL66">
        <f t="shared" si="17"/>
        <v>-6</v>
      </c>
      <c r="AM66">
        <f t="shared" si="17"/>
        <v>-6</v>
      </c>
      <c r="AN66">
        <f t="shared" si="17"/>
        <v>-7</v>
      </c>
      <c r="AO66">
        <f t="shared" si="17"/>
        <v>-7</v>
      </c>
      <c r="AP66">
        <f t="shared" si="17"/>
        <v>-7</v>
      </c>
      <c r="AQ66">
        <f t="shared" si="17"/>
        <v>-8</v>
      </c>
      <c r="AR66">
        <f t="shared" si="17"/>
        <v>-8</v>
      </c>
      <c r="AS66">
        <f t="shared" si="17"/>
        <v>-8</v>
      </c>
      <c r="AT66">
        <f t="shared" si="17"/>
        <v>-9</v>
      </c>
      <c r="AU66">
        <f t="shared" si="17"/>
        <v>-9</v>
      </c>
      <c r="AV66">
        <f t="shared" si="17"/>
        <v>-9</v>
      </c>
      <c r="AW66">
        <f t="shared" si="17"/>
        <v>-10</v>
      </c>
      <c r="AX66">
        <f t="shared" si="17"/>
        <v>-10</v>
      </c>
      <c r="AY66">
        <f t="shared" si="17"/>
        <v>-10</v>
      </c>
      <c r="AZ66">
        <f t="shared" si="17"/>
        <v>-11</v>
      </c>
      <c r="BA66">
        <f t="shared" si="17"/>
        <v>-11</v>
      </c>
      <c r="BB66">
        <f t="shared" si="17"/>
        <v>-11</v>
      </c>
      <c r="BC66">
        <f t="shared" si="17"/>
        <v>-12</v>
      </c>
      <c r="BD66">
        <f t="shared" si="17"/>
        <v>-12</v>
      </c>
      <c r="BE66">
        <f t="shared" si="17"/>
        <v>-12</v>
      </c>
      <c r="BF66">
        <f t="shared" si="17"/>
        <v>-13</v>
      </c>
      <c r="BG66">
        <f t="shared" si="17"/>
        <v>-13</v>
      </c>
      <c r="BH66">
        <f t="shared" si="17"/>
        <v>-13</v>
      </c>
      <c r="BI66">
        <f t="shared" si="17"/>
        <v>-14</v>
      </c>
      <c r="BJ66">
        <f t="shared" si="17"/>
        <v>-14</v>
      </c>
      <c r="BK66">
        <f t="shared" si="17"/>
        <v>-14</v>
      </c>
      <c r="BL66">
        <f t="shared" si="17"/>
        <v>-15</v>
      </c>
      <c r="BM66">
        <f t="shared" si="17"/>
        <v>-15</v>
      </c>
      <c r="BN66">
        <f t="shared" si="17"/>
        <v>-15</v>
      </c>
      <c r="BO66">
        <f t="shared" si="17"/>
        <v>-16</v>
      </c>
      <c r="BP66">
        <f t="shared" si="17"/>
        <v>-16</v>
      </c>
      <c r="BQ66">
        <f t="shared" si="17"/>
        <v>-16</v>
      </c>
      <c r="BR66">
        <f t="shared" si="17"/>
        <v>-17</v>
      </c>
      <c r="BS66">
        <f t="shared" si="17"/>
        <v>-17</v>
      </c>
      <c r="BT66">
        <f t="shared" si="17"/>
        <v>-17</v>
      </c>
      <c r="BU66">
        <f t="shared" si="17"/>
        <v>-18</v>
      </c>
      <c r="BV66">
        <f t="shared" si="17"/>
        <v>-18</v>
      </c>
      <c r="BW66">
        <f t="shared" si="17"/>
        <v>-18</v>
      </c>
      <c r="BX66">
        <f t="shared" si="17"/>
        <v>-19</v>
      </c>
      <c r="BY66">
        <f t="shared" si="17"/>
        <v>-19</v>
      </c>
      <c r="BZ66">
        <f t="shared" si="17"/>
        <v>-19</v>
      </c>
      <c r="CA66">
        <f t="shared" si="17"/>
        <v>-20</v>
      </c>
      <c r="CB66">
        <f t="shared" si="17"/>
        <v>-20</v>
      </c>
      <c r="CC66">
        <f t="shared" si="17"/>
        <v>-20</v>
      </c>
      <c r="CD66">
        <f t="shared" si="17"/>
        <v>-21</v>
      </c>
      <c r="CE66">
        <f t="shared" si="17"/>
        <v>-21</v>
      </c>
      <c r="CF66">
        <f t="shared" si="17"/>
        <v>-21</v>
      </c>
      <c r="CG66">
        <f t="shared" si="17"/>
        <v>-22</v>
      </c>
      <c r="CH66">
        <f t="shared" si="17"/>
        <v>-22</v>
      </c>
      <c r="CI66">
        <f t="shared" si="17"/>
        <v>-22</v>
      </c>
      <c r="CJ66">
        <f t="shared" ref="CJ66:DP68" si="18">IF(CI$73=$T66,CI66-1,CI66)</f>
        <v>-23</v>
      </c>
      <c r="CK66">
        <f t="shared" si="18"/>
        <v>-23</v>
      </c>
      <c r="CL66">
        <f t="shared" si="18"/>
        <v>-23</v>
      </c>
      <c r="CM66">
        <f t="shared" si="18"/>
        <v>-24</v>
      </c>
      <c r="CN66">
        <f t="shared" si="18"/>
        <v>-24</v>
      </c>
      <c r="CO66">
        <f t="shared" si="18"/>
        <v>-24</v>
      </c>
      <c r="CP66">
        <f t="shared" si="18"/>
        <v>-25</v>
      </c>
      <c r="CQ66">
        <f t="shared" si="18"/>
        <v>-25</v>
      </c>
      <c r="CR66">
        <f t="shared" si="18"/>
        <v>-25</v>
      </c>
      <c r="CS66">
        <f t="shared" si="18"/>
        <v>-26</v>
      </c>
      <c r="CT66">
        <f t="shared" si="18"/>
        <v>-26</v>
      </c>
      <c r="CU66">
        <f t="shared" si="18"/>
        <v>-26</v>
      </c>
      <c r="CV66">
        <f t="shared" si="18"/>
        <v>-27</v>
      </c>
      <c r="CW66">
        <f t="shared" si="18"/>
        <v>-27</v>
      </c>
      <c r="CX66">
        <f t="shared" si="18"/>
        <v>-27</v>
      </c>
      <c r="CY66">
        <f t="shared" si="18"/>
        <v>-28</v>
      </c>
      <c r="CZ66">
        <f t="shared" si="18"/>
        <v>-28</v>
      </c>
      <c r="DA66">
        <f t="shared" si="18"/>
        <v>-28</v>
      </c>
      <c r="DB66">
        <f t="shared" si="18"/>
        <v>-29</v>
      </c>
      <c r="DC66">
        <f t="shared" si="18"/>
        <v>-29</v>
      </c>
      <c r="DD66">
        <f t="shared" si="18"/>
        <v>-29</v>
      </c>
      <c r="DE66">
        <f t="shared" si="18"/>
        <v>-30</v>
      </c>
      <c r="DF66">
        <f t="shared" si="18"/>
        <v>-30</v>
      </c>
      <c r="DG66">
        <f t="shared" si="18"/>
        <v>-30</v>
      </c>
      <c r="DH66">
        <f t="shared" si="18"/>
        <v>-31</v>
      </c>
      <c r="DI66">
        <f t="shared" si="18"/>
        <v>-31</v>
      </c>
      <c r="DJ66">
        <f t="shared" si="18"/>
        <v>-31</v>
      </c>
      <c r="DK66">
        <f t="shared" si="18"/>
        <v>-32</v>
      </c>
      <c r="DL66">
        <f t="shared" si="18"/>
        <v>-32</v>
      </c>
      <c r="DM66">
        <f t="shared" si="18"/>
        <v>-32</v>
      </c>
      <c r="DN66">
        <f t="shared" si="18"/>
        <v>-33</v>
      </c>
      <c r="DO66">
        <f t="shared" si="18"/>
        <v>-33</v>
      </c>
      <c r="DP66">
        <f t="shared" si="18"/>
        <v>-33</v>
      </c>
      <c r="DQ66" t="s">
        <v>15</v>
      </c>
    </row>
    <row r="67" spans="20:121" x14ac:dyDescent="0.25">
      <c r="T67" t="s">
        <v>17</v>
      </c>
      <c r="U67">
        <f t="shared" ref="U67:U68" si="19">Q56</f>
        <v>0</v>
      </c>
      <c r="V67">
        <f t="shared" ref="V67:W68" si="20">IF(U$73=$T67,U67-1,U67)</f>
        <v>0</v>
      </c>
      <c r="W67">
        <f t="shared" si="20"/>
        <v>-1</v>
      </c>
      <c r="X67">
        <f t="shared" si="17"/>
        <v>-1</v>
      </c>
      <c r="Y67">
        <f t="shared" si="17"/>
        <v>-1</v>
      </c>
      <c r="Z67">
        <f t="shared" si="17"/>
        <v>-2</v>
      </c>
      <c r="AA67">
        <f t="shared" si="17"/>
        <v>-2</v>
      </c>
      <c r="AB67">
        <f t="shared" si="17"/>
        <v>-2</v>
      </c>
      <c r="AC67">
        <f t="shared" si="17"/>
        <v>-3</v>
      </c>
      <c r="AD67">
        <f t="shared" si="17"/>
        <v>-3</v>
      </c>
      <c r="AE67">
        <f t="shared" si="17"/>
        <v>-3</v>
      </c>
      <c r="AF67">
        <f t="shared" si="17"/>
        <v>-4</v>
      </c>
      <c r="AG67">
        <f t="shared" si="17"/>
        <v>-4</v>
      </c>
      <c r="AH67">
        <f t="shared" si="17"/>
        <v>-4</v>
      </c>
      <c r="AI67">
        <f t="shared" si="17"/>
        <v>-5</v>
      </c>
      <c r="AJ67">
        <f t="shared" si="17"/>
        <v>-5</v>
      </c>
      <c r="AK67">
        <f t="shared" si="17"/>
        <v>-5</v>
      </c>
      <c r="AL67">
        <f t="shared" si="17"/>
        <v>-6</v>
      </c>
      <c r="AM67">
        <f t="shared" si="17"/>
        <v>-6</v>
      </c>
      <c r="AN67">
        <f t="shared" si="17"/>
        <v>-6</v>
      </c>
      <c r="AO67">
        <f t="shared" si="17"/>
        <v>-7</v>
      </c>
      <c r="AP67">
        <f t="shared" si="17"/>
        <v>-7</v>
      </c>
      <c r="AQ67">
        <f t="shared" si="17"/>
        <v>-7</v>
      </c>
      <c r="AR67">
        <f t="shared" si="17"/>
        <v>-8</v>
      </c>
      <c r="AS67">
        <f t="shared" si="17"/>
        <v>-8</v>
      </c>
      <c r="AT67">
        <f t="shared" si="17"/>
        <v>-8</v>
      </c>
      <c r="AU67">
        <f t="shared" si="17"/>
        <v>-9</v>
      </c>
      <c r="AV67">
        <f t="shared" si="17"/>
        <v>-9</v>
      </c>
      <c r="AW67">
        <f t="shared" si="17"/>
        <v>-9</v>
      </c>
      <c r="AX67">
        <f t="shared" si="17"/>
        <v>-10</v>
      </c>
      <c r="AY67">
        <f t="shared" si="17"/>
        <v>-10</v>
      </c>
      <c r="AZ67">
        <f t="shared" si="17"/>
        <v>-10</v>
      </c>
      <c r="BA67">
        <f t="shared" si="17"/>
        <v>-11</v>
      </c>
      <c r="BB67">
        <f t="shared" si="17"/>
        <v>-11</v>
      </c>
      <c r="BC67">
        <f t="shared" si="17"/>
        <v>-11</v>
      </c>
      <c r="BD67">
        <f t="shared" si="17"/>
        <v>-12</v>
      </c>
      <c r="BE67">
        <f t="shared" si="17"/>
        <v>-12</v>
      </c>
      <c r="BF67">
        <f t="shared" si="17"/>
        <v>-12</v>
      </c>
      <c r="BG67">
        <f t="shared" si="17"/>
        <v>-13</v>
      </c>
      <c r="BH67">
        <f t="shared" si="17"/>
        <v>-13</v>
      </c>
      <c r="BI67">
        <f t="shared" si="17"/>
        <v>-13</v>
      </c>
      <c r="BJ67">
        <f t="shared" si="17"/>
        <v>-14</v>
      </c>
      <c r="BK67">
        <f t="shared" si="17"/>
        <v>-14</v>
      </c>
      <c r="BL67">
        <f t="shared" si="17"/>
        <v>-14</v>
      </c>
      <c r="BM67">
        <f t="shared" si="17"/>
        <v>-15</v>
      </c>
      <c r="BN67">
        <f t="shared" si="17"/>
        <v>-15</v>
      </c>
      <c r="BO67">
        <f t="shared" si="17"/>
        <v>-15</v>
      </c>
      <c r="BP67">
        <f t="shared" si="17"/>
        <v>-16</v>
      </c>
      <c r="BQ67">
        <f t="shared" si="17"/>
        <v>-16</v>
      </c>
      <c r="BR67">
        <f t="shared" si="17"/>
        <v>-16</v>
      </c>
      <c r="BS67">
        <f t="shared" si="17"/>
        <v>-17</v>
      </c>
      <c r="BT67">
        <f t="shared" si="17"/>
        <v>-17</v>
      </c>
      <c r="BU67">
        <f t="shared" si="17"/>
        <v>-17</v>
      </c>
      <c r="BV67">
        <f t="shared" si="17"/>
        <v>-18</v>
      </c>
      <c r="BW67">
        <f t="shared" si="17"/>
        <v>-18</v>
      </c>
      <c r="BX67">
        <f t="shared" si="17"/>
        <v>-18</v>
      </c>
      <c r="BY67">
        <f t="shared" si="17"/>
        <v>-19</v>
      </c>
      <c r="BZ67">
        <f t="shared" si="17"/>
        <v>-19</v>
      </c>
      <c r="CA67">
        <f t="shared" si="17"/>
        <v>-19</v>
      </c>
      <c r="CB67">
        <f t="shared" si="17"/>
        <v>-20</v>
      </c>
      <c r="CC67">
        <f t="shared" si="17"/>
        <v>-20</v>
      </c>
      <c r="CD67">
        <f t="shared" si="17"/>
        <v>-20</v>
      </c>
      <c r="CE67">
        <f t="shared" si="17"/>
        <v>-21</v>
      </c>
      <c r="CF67">
        <f t="shared" si="17"/>
        <v>-21</v>
      </c>
      <c r="CG67">
        <f t="shared" si="17"/>
        <v>-21</v>
      </c>
      <c r="CH67">
        <f t="shared" si="17"/>
        <v>-22</v>
      </c>
      <c r="CI67">
        <f t="shared" si="17"/>
        <v>-22</v>
      </c>
      <c r="CJ67">
        <f t="shared" si="18"/>
        <v>-22</v>
      </c>
      <c r="CK67">
        <f t="shared" si="18"/>
        <v>-23</v>
      </c>
      <c r="CL67">
        <f t="shared" si="18"/>
        <v>-23</v>
      </c>
      <c r="CM67">
        <f t="shared" si="18"/>
        <v>-23</v>
      </c>
      <c r="CN67">
        <f t="shared" si="18"/>
        <v>-24</v>
      </c>
      <c r="CO67">
        <f t="shared" si="18"/>
        <v>-24</v>
      </c>
      <c r="CP67">
        <f t="shared" si="18"/>
        <v>-24</v>
      </c>
      <c r="CQ67">
        <f t="shared" si="18"/>
        <v>-25</v>
      </c>
      <c r="CR67">
        <f t="shared" si="18"/>
        <v>-25</v>
      </c>
      <c r="CS67">
        <f t="shared" si="18"/>
        <v>-25</v>
      </c>
      <c r="CT67">
        <f t="shared" si="18"/>
        <v>-26</v>
      </c>
      <c r="CU67">
        <f t="shared" si="18"/>
        <v>-26</v>
      </c>
      <c r="CV67">
        <f t="shared" si="18"/>
        <v>-26</v>
      </c>
      <c r="CW67">
        <f t="shared" si="18"/>
        <v>-27</v>
      </c>
      <c r="CX67">
        <f t="shared" si="18"/>
        <v>-27</v>
      </c>
      <c r="CY67">
        <f t="shared" si="18"/>
        <v>-27</v>
      </c>
      <c r="CZ67">
        <f t="shared" si="18"/>
        <v>-28</v>
      </c>
      <c r="DA67">
        <f t="shared" si="18"/>
        <v>-28</v>
      </c>
      <c r="DB67">
        <f t="shared" si="18"/>
        <v>-28</v>
      </c>
      <c r="DC67">
        <f t="shared" si="18"/>
        <v>-29</v>
      </c>
      <c r="DD67">
        <f t="shared" si="18"/>
        <v>-29</v>
      </c>
      <c r="DE67">
        <f t="shared" si="18"/>
        <v>-29</v>
      </c>
      <c r="DF67">
        <f t="shared" si="18"/>
        <v>-30</v>
      </c>
      <c r="DG67">
        <f t="shared" si="18"/>
        <v>-30</v>
      </c>
      <c r="DH67">
        <f t="shared" si="18"/>
        <v>-30</v>
      </c>
      <c r="DI67">
        <f t="shared" si="18"/>
        <v>-31</v>
      </c>
      <c r="DJ67">
        <f t="shared" si="18"/>
        <v>-31</v>
      </c>
      <c r="DK67">
        <f t="shared" si="18"/>
        <v>-31</v>
      </c>
      <c r="DL67">
        <f t="shared" si="18"/>
        <v>-32</v>
      </c>
      <c r="DM67">
        <f t="shared" si="18"/>
        <v>-32</v>
      </c>
      <c r="DN67">
        <f t="shared" si="18"/>
        <v>-32</v>
      </c>
      <c r="DO67">
        <f t="shared" si="18"/>
        <v>-33</v>
      </c>
      <c r="DP67">
        <f t="shared" si="18"/>
        <v>-33</v>
      </c>
      <c r="DQ67" t="s">
        <v>17</v>
      </c>
    </row>
    <row r="68" spans="20:121" x14ac:dyDescent="0.25">
      <c r="T68" t="s">
        <v>19</v>
      </c>
      <c r="U68">
        <f t="shared" si="19"/>
        <v>0</v>
      </c>
      <c r="V68">
        <f t="shared" si="20"/>
        <v>0</v>
      </c>
      <c r="W68">
        <f t="shared" si="20"/>
        <v>0</v>
      </c>
      <c r="X68">
        <f t="shared" si="17"/>
        <v>-1</v>
      </c>
      <c r="Y68">
        <f t="shared" si="17"/>
        <v>-1</v>
      </c>
      <c r="Z68">
        <f t="shared" si="17"/>
        <v>-1</v>
      </c>
      <c r="AA68">
        <f t="shared" si="17"/>
        <v>-2</v>
      </c>
      <c r="AB68">
        <f t="shared" si="17"/>
        <v>-2</v>
      </c>
      <c r="AC68">
        <f t="shared" si="17"/>
        <v>-2</v>
      </c>
      <c r="AD68">
        <f t="shared" si="17"/>
        <v>-3</v>
      </c>
      <c r="AE68">
        <f t="shared" si="17"/>
        <v>-3</v>
      </c>
      <c r="AF68">
        <f t="shared" si="17"/>
        <v>-3</v>
      </c>
      <c r="AG68">
        <f t="shared" si="17"/>
        <v>-4</v>
      </c>
      <c r="AH68">
        <f t="shared" si="17"/>
        <v>-4</v>
      </c>
      <c r="AI68">
        <f t="shared" si="17"/>
        <v>-4</v>
      </c>
      <c r="AJ68">
        <f t="shared" si="17"/>
        <v>-5</v>
      </c>
      <c r="AK68">
        <f t="shared" si="17"/>
        <v>-5</v>
      </c>
      <c r="AL68">
        <f t="shared" si="17"/>
        <v>-5</v>
      </c>
      <c r="AM68">
        <f t="shared" si="17"/>
        <v>-6</v>
      </c>
      <c r="AN68">
        <f t="shared" si="17"/>
        <v>-6</v>
      </c>
      <c r="AO68">
        <f t="shared" si="17"/>
        <v>-6</v>
      </c>
      <c r="AP68">
        <f t="shared" si="17"/>
        <v>-7</v>
      </c>
      <c r="AQ68">
        <f t="shared" si="17"/>
        <v>-7</v>
      </c>
      <c r="AR68">
        <f t="shared" si="17"/>
        <v>-7</v>
      </c>
      <c r="AS68">
        <f t="shared" si="17"/>
        <v>-8</v>
      </c>
      <c r="AT68">
        <f t="shared" si="17"/>
        <v>-8</v>
      </c>
      <c r="AU68">
        <f t="shared" si="17"/>
        <v>-8</v>
      </c>
      <c r="AV68">
        <f t="shared" si="17"/>
        <v>-9</v>
      </c>
      <c r="AW68">
        <f t="shared" si="17"/>
        <v>-9</v>
      </c>
      <c r="AX68">
        <f t="shared" si="17"/>
        <v>-9</v>
      </c>
      <c r="AY68">
        <f t="shared" si="17"/>
        <v>-10</v>
      </c>
      <c r="AZ68">
        <f t="shared" si="17"/>
        <v>-10</v>
      </c>
      <c r="BA68">
        <f t="shared" si="17"/>
        <v>-10</v>
      </c>
      <c r="BB68">
        <f t="shared" si="17"/>
        <v>-11</v>
      </c>
      <c r="BC68">
        <f t="shared" si="17"/>
        <v>-11</v>
      </c>
      <c r="BD68">
        <f t="shared" si="17"/>
        <v>-11</v>
      </c>
      <c r="BE68">
        <f t="shared" si="17"/>
        <v>-12</v>
      </c>
      <c r="BF68">
        <f t="shared" si="17"/>
        <v>-12</v>
      </c>
      <c r="BG68">
        <f t="shared" si="17"/>
        <v>-12</v>
      </c>
      <c r="BH68">
        <f t="shared" si="17"/>
        <v>-13</v>
      </c>
      <c r="BI68">
        <f t="shared" si="17"/>
        <v>-13</v>
      </c>
      <c r="BJ68">
        <f t="shared" si="17"/>
        <v>-13</v>
      </c>
      <c r="BK68">
        <f t="shared" si="17"/>
        <v>-14</v>
      </c>
      <c r="BL68">
        <f t="shared" si="17"/>
        <v>-14</v>
      </c>
      <c r="BM68">
        <f t="shared" si="17"/>
        <v>-14</v>
      </c>
      <c r="BN68">
        <f t="shared" si="17"/>
        <v>-15</v>
      </c>
      <c r="BO68">
        <f t="shared" si="17"/>
        <v>-15</v>
      </c>
      <c r="BP68">
        <f t="shared" si="17"/>
        <v>-15</v>
      </c>
      <c r="BQ68">
        <f t="shared" si="17"/>
        <v>-16</v>
      </c>
      <c r="BR68">
        <f t="shared" si="17"/>
        <v>-16</v>
      </c>
      <c r="BS68">
        <f t="shared" si="17"/>
        <v>-16</v>
      </c>
      <c r="BT68">
        <f t="shared" si="17"/>
        <v>-17</v>
      </c>
      <c r="BU68">
        <f t="shared" si="17"/>
        <v>-17</v>
      </c>
      <c r="BV68">
        <f t="shared" si="17"/>
        <v>-17</v>
      </c>
      <c r="BW68">
        <f t="shared" si="17"/>
        <v>-18</v>
      </c>
      <c r="BX68">
        <f t="shared" si="17"/>
        <v>-18</v>
      </c>
      <c r="BY68">
        <f t="shared" si="17"/>
        <v>-18</v>
      </c>
      <c r="BZ68">
        <f t="shared" si="17"/>
        <v>-19</v>
      </c>
      <c r="CA68">
        <f t="shared" si="17"/>
        <v>-19</v>
      </c>
      <c r="CB68">
        <f t="shared" si="17"/>
        <v>-19</v>
      </c>
      <c r="CC68">
        <f t="shared" si="17"/>
        <v>-20</v>
      </c>
      <c r="CD68">
        <f t="shared" si="17"/>
        <v>-20</v>
      </c>
      <c r="CE68">
        <f t="shared" si="17"/>
        <v>-20</v>
      </c>
      <c r="CF68">
        <f t="shared" si="17"/>
        <v>-21</v>
      </c>
      <c r="CG68">
        <f t="shared" si="17"/>
        <v>-21</v>
      </c>
      <c r="CH68">
        <f t="shared" si="17"/>
        <v>-21</v>
      </c>
      <c r="CI68">
        <f t="shared" si="17"/>
        <v>-22</v>
      </c>
      <c r="CJ68">
        <f t="shared" si="18"/>
        <v>-22</v>
      </c>
      <c r="CK68">
        <f t="shared" si="18"/>
        <v>-22</v>
      </c>
      <c r="CL68">
        <f t="shared" si="18"/>
        <v>-23</v>
      </c>
      <c r="CM68">
        <f t="shared" si="18"/>
        <v>-23</v>
      </c>
      <c r="CN68">
        <f t="shared" si="18"/>
        <v>-23</v>
      </c>
      <c r="CO68">
        <f t="shared" si="18"/>
        <v>-24</v>
      </c>
      <c r="CP68">
        <f t="shared" si="18"/>
        <v>-24</v>
      </c>
      <c r="CQ68">
        <f t="shared" si="18"/>
        <v>-24</v>
      </c>
      <c r="CR68">
        <f t="shared" si="18"/>
        <v>-25</v>
      </c>
      <c r="CS68">
        <f t="shared" si="18"/>
        <v>-25</v>
      </c>
      <c r="CT68">
        <f t="shared" si="18"/>
        <v>-25</v>
      </c>
      <c r="CU68">
        <f t="shared" si="18"/>
        <v>-26</v>
      </c>
      <c r="CV68">
        <f t="shared" si="18"/>
        <v>-26</v>
      </c>
      <c r="CW68">
        <f t="shared" si="18"/>
        <v>-26</v>
      </c>
      <c r="CX68">
        <f t="shared" si="18"/>
        <v>-27</v>
      </c>
      <c r="CY68">
        <f t="shared" si="18"/>
        <v>-27</v>
      </c>
      <c r="CZ68">
        <f t="shared" si="18"/>
        <v>-27</v>
      </c>
      <c r="DA68">
        <f t="shared" si="18"/>
        <v>-28</v>
      </c>
      <c r="DB68">
        <f t="shared" si="18"/>
        <v>-28</v>
      </c>
      <c r="DC68">
        <f t="shared" si="18"/>
        <v>-28</v>
      </c>
      <c r="DD68">
        <f t="shared" si="18"/>
        <v>-29</v>
      </c>
      <c r="DE68">
        <f t="shared" si="18"/>
        <v>-29</v>
      </c>
      <c r="DF68">
        <f t="shared" si="18"/>
        <v>-29</v>
      </c>
      <c r="DG68">
        <f t="shared" si="18"/>
        <v>-30</v>
      </c>
      <c r="DH68">
        <f t="shared" si="18"/>
        <v>-30</v>
      </c>
      <c r="DI68">
        <f t="shared" si="18"/>
        <v>-30</v>
      </c>
      <c r="DJ68">
        <f t="shared" si="18"/>
        <v>-31</v>
      </c>
      <c r="DK68">
        <f t="shared" si="18"/>
        <v>-31</v>
      </c>
      <c r="DL68">
        <f t="shared" si="18"/>
        <v>-31</v>
      </c>
      <c r="DM68">
        <f t="shared" si="18"/>
        <v>-32</v>
      </c>
      <c r="DN68">
        <f t="shared" si="18"/>
        <v>-32</v>
      </c>
      <c r="DO68">
        <f t="shared" si="18"/>
        <v>-32</v>
      </c>
      <c r="DP68">
        <f t="shared" si="18"/>
        <v>-33</v>
      </c>
      <c r="DQ68" t="s">
        <v>19</v>
      </c>
    </row>
    <row r="70" spans="20:121" x14ac:dyDescent="0.25">
      <c r="U70" t="e">
        <f>SMALL(U59:U64,COUNTIF(U59:U64,0)+1)</f>
        <v>#NUM!</v>
      </c>
      <c r="V70" t="e">
        <f>SMALL(V59:V64,COUNTIF(V59:V64,0)+1)</f>
        <v>#NUM!</v>
      </c>
      <c r="W70" t="e">
        <f>SMALL(W59:W64,COUNTIF(W59:W64,0)+1)</f>
        <v>#NUM!</v>
      </c>
      <c r="X70" t="e">
        <f t="shared" ref="X70:CI70" si="21">SMALL(X59:X64,COUNTIF(X59:X64,0)+1)</f>
        <v>#NUM!</v>
      </c>
      <c r="Y70" t="e">
        <f t="shared" si="21"/>
        <v>#NUM!</v>
      </c>
      <c r="Z70" t="e">
        <f t="shared" si="21"/>
        <v>#NUM!</v>
      </c>
      <c r="AA70" t="e">
        <f t="shared" si="21"/>
        <v>#NUM!</v>
      </c>
      <c r="AB70" t="e">
        <f t="shared" si="21"/>
        <v>#NUM!</v>
      </c>
      <c r="AC70" t="e">
        <f t="shared" si="21"/>
        <v>#NUM!</v>
      </c>
      <c r="AD70" t="e">
        <f t="shared" si="21"/>
        <v>#NUM!</v>
      </c>
      <c r="AE70" t="e">
        <f t="shared" si="21"/>
        <v>#NUM!</v>
      </c>
      <c r="AF70" t="e">
        <f t="shared" si="21"/>
        <v>#NUM!</v>
      </c>
      <c r="AG70" t="e">
        <f t="shared" si="21"/>
        <v>#NUM!</v>
      </c>
      <c r="AH70" t="e">
        <f t="shared" si="21"/>
        <v>#NUM!</v>
      </c>
      <c r="AI70" t="e">
        <f t="shared" si="21"/>
        <v>#NUM!</v>
      </c>
      <c r="AJ70" t="e">
        <f t="shared" si="21"/>
        <v>#NUM!</v>
      </c>
      <c r="AK70" t="e">
        <f t="shared" si="21"/>
        <v>#NUM!</v>
      </c>
      <c r="AL70" t="e">
        <f t="shared" si="21"/>
        <v>#NUM!</v>
      </c>
      <c r="AM70" t="e">
        <f t="shared" si="21"/>
        <v>#NUM!</v>
      </c>
      <c r="AN70" t="e">
        <f t="shared" si="21"/>
        <v>#NUM!</v>
      </c>
      <c r="AO70" t="e">
        <f t="shared" si="21"/>
        <v>#NUM!</v>
      </c>
      <c r="AP70" t="e">
        <f t="shared" si="21"/>
        <v>#NUM!</v>
      </c>
      <c r="AQ70" t="e">
        <f t="shared" si="21"/>
        <v>#NUM!</v>
      </c>
      <c r="AR70" t="e">
        <f t="shared" si="21"/>
        <v>#NUM!</v>
      </c>
      <c r="AS70" t="e">
        <f t="shared" si="21"/>
        <v>#NUM!</v>
      </c>
      <c r="AT70" t="e">
        <f t="shared" si="21"/>
        <v>#NUM!</v>
      </c>
      <c r="AU70" t="e">
        <f t="shared" si="21"/>
        <v>#NUM!</v>
      </c>
      <c r="AV70" t="e">
        <f t="shared" si="21"/>
        <v>#NUM!</v>
      </c>
      <c r="AW70" t="e">
        <f t="shared" si="21"/>
        <v>#NUM!</v>
      </c>
      <c r="AX70" t="e">
        <f t="shared" si="21"/>
        <v>#NUM!</v>
      </c>
      <c r="AY70" t="e">
        <f t="shared" si="21"/>
        <v>#NUM!</v>
      </c>
      <c r="AZ70" t="e">
        <f t="shared" si="21"/>
        <v>#NUM!</v>
      </c>
      <c r="BA70" t="e">
        <f t="shared" si="21"/>
        <v>#NUM!</v>
      </c>
      <c r="BB70" t="e">
        <f t="shared" si="21"/>
        <v>#NUM!</v>
      </c>
      <c r="BC70" t="e">
        <f t="shared" si="21"/>
        <v>#NUM!</v>
      </c>
      <c r="BD70" t="e">
        <f t="shared" si="21"/>
        <v>#NUM!</v>
      </c>
      <c r="BE70" t="e">
        <f t="shared" si="21"/>
        <v>#NUM!</v>
      </c>
      <c r="BF70" t="e">
        <f t="shared" si="21"/>
        <v>#NUM!</v>
      </c>
      <c r="BG70" t="e">
        <f t="shared" si="21"/>
        <v>#NUM!</v>
      </c>
      <c r="BH70" t="e">
        <f t="shared" si="21"/>
        <v>#NUM!</v>
      </c>
      <c r="BI70" t="e">
        <f t="shared" si="21"/>
        <v>#NUM!</v>
      </c>
      <c r="BJ70" t="e">
        <f t="shared" si="21"/>
        <v>#NUM!</v>
      </c>
      <c r="BK70" t="e">
        <f t="shared" si="21"/>
        <v>#NUM!</v>
      </c>
      <c r="BL70" t="e">
        <f t="shared" si="21"/>
        <v>#NUM!</v>
      </c>
      <c r="BM70" t="e">
        <f t="shared" si="21"/>
        <v>#NUM!</v>
      </c>
      <c r="BN70" t="e">
        <f t="shared" si="21"/>
        <v>#NUM!</v>
      </c>
      <c r="BO70" t="e">
        <f t="shared" si="21"/>
        <v>#NUM!</v>
      </c>
      <c r="BP70" t="e">
        <f t="shared" si="21"/>
        <v>#NUM!</v>
      </c>
      <c r="BQ70" t="e">
        <f t="shared" si="21"/>
        <v>#NUM!</v>
      </c>
      <c r="BR70" t="e">
        <f t="shared" si="21"/>
        <v>#NUM!</v>
      </c>
      <c r="BS70" t="e">
        <f t="shared" si="21"/>
        <v>#NUM!</v>
      </c>
      <c r="BT70" t="e">
        <f t="shared" si="21"/>
        <v>#NUM!</v>
      </c>
      <c r="BU70" t="e">
        <f t="shared" si="21"/>
        <v>#NUM!</v>
      </c>
      <c r="BV70" t="e">
        <f t="shared" si="21"/>
        <v>#NUM!</v>
      </c>
      <c r="BW70" t="e">
        <f t="shared" si="21"/>
        <v>#NUM!</v>
      </c>
      <c r="BX70" t="e">
        <f t="shared" si="21"/>
        <v>#NUM!</v>
      </c>
      <c r="BY70" t="e">
        <f t="shared" si="21"/>
        <v>#NUM!</v>
      </c>
      <c r="BZ70" t="e">
        <f t="shared" si="21"/>
        <v>#NUM!</v>
      </c>
      <c r="CA70" t="e">
        <f t="shared" si="21"/>
        <v>#NUM!</v>
      </c>
      <c r="CB70" t="e">
        <f t="shared" si="21"/>
        <v>#NUM!</v>
      </c>
      <c r="CC70" t="e">
        <f t="shared" si="21"/>
        <v>#NUM!</v>
      </c>
      <c r="CD70" t="e">
        <f t="shared" si="21"/>
        <v>#NUM!</v>
      </c>
      <c r="CE70" t="e">
        <f t="shared" si="21"/>
        <v>#NUM!</v>
      </c>
      <c r="CF70" t="e">
        <f t="shared" si="21"/>
        <v>#NUM!</v>
      </c>
      <c r="CG70" t="e">
        <f t="shared" si="21"/>
        <v>#NUM!</v>
      </c>
      <c r="CH70" t="e">
        <f t="shared" si="21"/>
        <v>#NUM!</v>
      </c>
      <c r="CI70" t="e">
        <f t="shared" si="21"/>
        <v>#NUM!</v>
      </c>
      <c r="CJ70" t="e">
        <f t="shared" ref="CJ70:DP70" si="22">SMALL(CJ59:CJ64,COUNTIF(CJ59:CJ64,0)+1)</f>
        <v>#NUM!</v>
      </c>
      <c r="CK70" t="e">
        <f t="shared" si="22"/>
        <v>#NUM!</v>
      </c>
      <c r="CL70" t="e">
        <f t="shared" si="22"/>
        <v>#NUM!</v>
      </c>
      <c r="CM70" t="e">
        <f t="shared" si="22"/>
        <v>#NUM!</v>
      </c>
      <c r="CN70" t="e">
        <f t="shared" si="22"/>
        <v>#NUM!</v>
      </c>
      <c r="CO70" t="e">
        <f t="shared" si="22"/>
        <v>#NUM!</v>
      </c>
      <c r="CP70" t="e">
        <f t="shared" si="22"/>
        <v>#NUM!</v>
      </c>
      <c r="CQ70" t="e">
        <f t="shared" si="22"/>
        <v>#NUM!</v>
      </c>
      <c r="CR70" t="e">
        <f t="shared" si="22"/>
        <v>#NUM!</v>
      </c>
      <c r="CS70" t="e">
        <f t="shared" si="22"/>
        <v>#NUM!</v>
      </c>
      <c r="CT70" t="e">
        <f t="shared" si="22"/>
        <v>#NUM!</v>
      </c>
      <c r="CU70" t="e">
        <f t="shared" si="22"/>
        <v>#NUM!</v>
      </c>
      <c r="CV70" t="e">
        <f t="shared" si="22"/>
        <v>#NUM!</v>
      </c>
      <c r="CW70" t="e">
        <f t="shared" si="22"/>
        <v>#NUM!</v>
      </c>
      <c r="CX70" t="e">
        <f t="shared" si="22"/>
        <v>#NUM!</v>
      </c>
      <c r="CY70" t="e">
        <f t="shared" si="22"/>
        <v>#NUM!</v>
      </c>
      <c r="CZ70" t="e">
        <f t="shared" si="22"/>
        <v>#NUM!</v>
      </c>
      <c r="DA70" t="e">
        <f t="shared" si="22"/>
        <v>#NUM!</v>
      </c>
      <c r="DB70" t="e">
        <f t="shared" si="22"/>
        <v>#NUM!</v>
      </c>
      <c r="DC70" t="e">
        <f t="shared" si="22"/>
        <v>#NUM!</v>
      </c>
      <c r="DD70" t="e">
        <f t="shared" si="22"/>
        <v>#NUM!</v>
      </c>
      <c r="DE70" t="e">
        <f t="shared" si="22"/>
        <v>#NUM!</v>
      </c>
      <c r="DF70" t="e">
        <f t="shared" si="22"/>
        <v>#NUM!</v>
      </c>
      <c r="DG70" t="e">
        <f t="shared" si="22"/>
        <v>#NUM!</v>
      </c>
      <c r="DH70" t="e">
        <f t="shared" si="22"/>
        <v>#NUM!</v>
      </c>
      <c r="DI70" t="e">
        <f t="shared" si="22"/>
        <v>#NUM!</v>
      </c>
      <c r="DJ70" t="e">
        <f t="shared" si="22"/>
        <v>#NUM!</v>
      </c>
      <c r="DK70" t="e">
        <f t="shared" si="22"/>
        <v>#NUM!</v>
      </c>
      <c r="DL70" t="e">
        <f t="shared" si="22"/>
        <v>#NUM!</v>
      </c>
      <c r="DM70" t="e">
        <f t="shared" si="22"/>
        <v>#NUM!</v>
      </c>
      <c r="DN70" t="e">
        <f t="shared" si="22"/>
        <v>#NUM!</v>
      </c>
      <c r="DO70" t="e">
        <f t="shared" si="22"/>
        <v>#NUM!</v>
      </c>
      <c r="DP70" t="e">
        <f t="shared" si="22"/>
        <v>#NUM!</v>
      </c>
    </row>
    <row r="71" spans="20:121" x14ac:dyDescent="0.25">
      <c r="U71" t="e">
        <f>VLOOKUP(U70,U59:DQ64,101,FALSE)</f>
        <v>#NUM!</v>
      </c>
      <c r="V71" t="e">
        <f>VLOOKUP(V70,V59:DR64,V74,FALSE)</f>
        <v>#NUM!</v>
      </c>
      <c r="W71" t="e">
        <f>VLOOKUP(W70,W59:DS64,W74,FALSE)</f>
        <v>#NUM!</v>
      </c>
      <c r="X71" t="e">
        <f t="shared" ref="X71:CI71" si="23">VLOOKUP(X70,X59:DT64,X74,FALSE)</f>
        <v>#NUM!</v>
      </c>
      <c r="Y71" t="e">
        <f t="shared" si="23"/>
        <v>#NUM!</v>
      </c>
      <c r="Z71" t="e">
        <f t="shared" si="23"/>
        <v>#NUM!</v>
      </c>
      <c r="AA71" t="e">
        <f t="shared" si="23"/>
        <v>#NUM!</v>
      </c>
      <c r="AB71" t="e">
        <f t="shared" si="23"/>
        <v>#NUM!</v>
      </c>
      <c r="AC71" t="e">
        <f t="shared" si="23"/>
        <v>#NUM!</v>
      </c>
      <c r="AD71" t="e">
        <f t="shared" si="23"/>
        <v>#NUM!</v>
      </c>
      <c r="AE71" t="e">
        <f t="shared" si="23"/>
        <v>#NUM!</v>
      </c>
      <c r="AF71" t="e">
        <f t="shared" si="23"/>
        <v>#NUM!</v>
      </c>
      <c r="AG71" t="e">
        <f t="shared" si="23"/>
        <v>#NUM!</v>
      </c>
      <c r="AH71" t="e">
        <f t="shared" si="23"/>
        <v>#NUM!</v>
      </c>
      <c r="AI71" t="e">
        <f t="shared" si="23"/>
        <v>#NUM!</v>
      </c>
      <c r="AJ71" t="e">
        <f t="shared" si="23"/>
        <v>#NUM!</v>
      </c>
      <c r="AK71" t="e">
        <f t="shared" si="23"/>
        <v>#NUM!</v>
      </c>
      <c r="AL71" t="e">
        <f t="shared" si="23"/>
        <v>#NUM!</v>
      </c>
      <c r="AM71" t="e">
        <f t="shared" si="23"/>
        <v>#NUM!</v>
      </c>
      <c r="AN71" t="e">
        <f t="shared" si="23"/>
        <v>#NUM!</v>
      </c>
      <c r="AO71" t="e">
        <f t="shared" si="23"/>
        <v>#NUM!</v>
      </c>
      <c r="AP71" t="e">
        <f t="shared" si="23"/>
        <v>#NUM!</v>
      </c>
      <c r="AQ71" t="e">
        <f t="shared" si="23"/>
        <v>#NUM!</v>
      </c>
      <c r="AR71" t="e">
        <f t="shared" si="23"/>
        <v>#NUM!</v>
      </c>
      <c r="AS71" t="e">
        <f t="shared" si="23"/>
        <v>#NUM!</v>
      </c>
      <c r="AT71" t="e">
        <f t="shared" si="23"/>
        <v>#NUM!</v>
      </c>
      <c r="AU71" t="e">
        <f t="shared" si="23"/>
        <v>#NUM!</v>
      </c>
      <c r="AV71" t="e">
        <f t="shared" si="23"/>
        <v>#NUM!</v>
      </c>
      <c r="AW71" t="e">
        <f t="shared" si="23"/>
        <v>#NUM!</v>
      </c>
      <c r="AX71" t="e">
        <f t="shared" si="23"/>
        <v>#NUM!</v>
      </c>
      <c r="AY71" t="e">
        <f t="shared" si="23"/>
        <v>#NUM!</v>
      </c>
      <c r="AZ71" t="e">
        <f t="shared" si="23"/>
        <v>#NUM!</v>
      </c>
      <c r="BA71" t="e">
        <f t="shared" si="23"/>
        <v>#NUM!</v>
      </c>
      <c r="BB71" t="e">
        <f t="shared" si="23"/>
        <v>#NUM!</v>
      </c>
      <c r="BC71" t="e">
        <f t="shared" si="23"/>
        <v>#NUM!</v>
      </c>
      <c r="BD71" t="e">
        <f t="shared" si="23"/>
        <v>#NUM!</v>
      </c>
      <c r="BE71" t="e">
        <f t="shared" si="23"/>
        <v>#NUM!</v>
      </c>
      <c r="BF71" t="e">
        <f t="shared" si="23"/>
        <v>#NUM!</v>
      </c>
      <c r="BG71" t="e">
        <f t="shared" si="23"/>
        <v>#NUM!</v>
      </c>
      <c r="BH71" t="e">
        <f t="shared" si="23"/>
        <v>#NUM!</v>
      </c>
      <c r="BI71" t="e">
        <f t="shared" si="23"/>
        <v>#NUM!</v>
      </c>
      <c r="BJ71" t="e">
        <f t="shared" si="23"/>
        <v>#NUM!</v>
      </c>
      <c r="BK71" t="e">
        <f t="shared" si="23"/>
        <v>#NUM!</v>
      </c>
      <c r="BL71" t="e">
        <f t="shared" si="23"/>
        <v>#NUM!</v>
      </c>
      <c r="BM71" t="e">
        <f t="shared" si="23"/>
        <v>#NUM!</v>
      </c>
      <c r="BN71" t="e">
        <f t="shared" si="23"/>
        <v>#NUM!</v>
      </c>
      <c r="BO71" t="e">
        <f t="shared" si="23"/>
        <v>#NUM!</v>
      </c>
      <c r="BP71" t="e">
        <f t="shared" si="23"/>
        <v>#NUM!</v>
      </c>
      <c r="BQ71" t="e">
        <f t="shared" si="23"/>
        <v>#NUM!</v>
      </c>
      <c r="BR71" t="e">
        <f t="shared" si="23"/>
        <v>#NUM!</v>
      </c>
      <c r="BS71" t="e">
        <f t="shared" si="23"/>
        <v>#NUM!</v>
      </c>
      <c r="BT71" t="e">
        <f t="shared" si="23"/>
        <v>#NUM!</v>
      </c>
      <c r="BU71" t="e">
        <f t="shared" si="23"/>
        <v>#NUM!</v>
      </c>
      <c r="BV71" t="e">
        <f t="shared" si="23"/>
        <v>#NUM!</v>
      </c>
      <c r="BW71" t="e">
        <f t="shared" si="23"/>
        <v>#NUM!</v>
      </c>
      <c r="BX71" t="e">
        <f t="shared" si="23"/>
        <v>#NUM!</v>
      </c>
      <c r="BY71" t="e">
        <f t="shared" si="23"/>
        <v>#NUM!</v>
      </c>
      <c r="BZ71" t="e">
        <f t="shared" si="23"/>
        <v>#NUM!</v>
      </c>
      <c r="CA71" t="e">
        <f t="shared" si="23"/>
        <v>#NUM!</v>
      </c>
      <c r="CB71" t="e">
        <f t="shared" si="23"/>
        <v>#NUM!</v>
      </c>
      <c r="CC71" t="e">
        <f t="shared" si="23"/>
        <v>#NUM!</v>
      </c>
      <c r="CD71" t="e">
        <f t="shared" si="23"/>
        <v>#NUM!</v>
      </c>
      <c r="CE71" t="e">
        <f t="shared" si="23"/>
        <v>#NUM!</v>
      </c>
      <c r="CF71" t="e">
        <f t="shared" si="23"/>
        <v>#NUM!</v>
      </c>
      <c r="CG71" t="e">
        <f t="shared" si="23"/>
        <v>#NUM!</v>
      </c>
      <c r="CH71" t="e">
        <f t="shared" si="23"/>
        <v>#NUM!</v>
      </c>
      <c r="CI71" t="e">
        <f t="shared" si="23"/>
        <v>#NUM!</v>
      </c>
      <c r="CJ71" t="e">
        <f t="shared" ref="CJ71:DP71" si="24">VLOOKUP(CJ70,CJ59:GF64,CJ74,FALSE)</f>
        <v>#NUM!</v>
      </c>
      <c r="CK71" t="e">
        <f t="shared" si="24"/>
        <v>#NUM!</v>
      </c>
      <c r="CL71" t="e">
        <f t="shared" si="24"/>
        <v>#NUM!</v>
      </c>
      <c r="CM71" t="e">
        <f t="shared" si="24"/>
        <v>#NUM!</v>
      </c>
      <c r="CN71" t="e">
        <f t="shared" si="24"/>
        <v>#NUM!</v>
      </c>
      <c r="CO71" t="e">
        <f t="shared" si="24"/>
        <v>#NUM!</v>
      </c>
      <c r="CP71" t="e">
        <f t="shared" si="24"/>
        <v>#NUM!</v>
      </c>
      <c r="CQ71" t="e">
        <f t="shared" si="24"/>
        <v>#NUM!</v>
      </c>
      <c r="CR71" t="e">
        <f t="shared" si="24"/>
        <v>#NUM!</v>
      </c>
      <c r="CS71" t="e">
        <f t="shared" si="24"/>
        <v>#NUM!</v>
      </c>
      <c r="CT71" t="e">
        <f t="shared" si="24"/>
        <v>#NUM!</v>
      </c>
      <c r="CU71" t="e">
        <f t="shared" si="24"/>
        <v>#NUM!</v>
      </c>
      <c r="CV71" t="e">
        <f t="shared" si="24"/>
        <v>#NUM!</v>
      </c>
      <c r="CW71" t="e">
        <f t="shared" si="24"/>
        <v>#NUM!</v>
      </c>
      <c r="CX71" t="e">
        <f t="shared" si="24"/>
        <v>#NUM!</v>
      </c>
      <c r="CY71" t="e">
        <f t="shared" si="24"/>
        <v>#NUM!</v>
      </c>
      <c r="CZ71" t="e">
        <f t="shared" si="24"/>
        <v>#NUM!</v>
      </c>
      <c r="DA71" t="e">
        <f t="shared" si="24"/>
        <v>#NUM!</v>
      </c>
      <c r="DB71" t="e">
        <f t="shared" si="24"/>
        <v>#NUM!</v>
      </c>
      <c r="DC71" t="e">
        <f t="shared" si="24"/>
        <v>#NUM!</v>
      </c>
      <c r="DD71" t="e">
        <f t="shared" si="24"/>
        <v>#NUM!</v>
      </c>
      <c r="DE71" t="e">
        <f t="shared" si="24"/>
        <v>#NUM!</v>
      </c>
      <c r="DF71" t="e">
        <f t="shared" si="24"/>
        <v>#NUM!</v>
      </c>
      <c r="DG71" t="e">
        <f t="shared" si="24"/>
        <v>#NUM!</v>
      </c>
      <c r="DH71" t="e">
        <f t="shared" si="24"/>
        <v>#NUM!</v>
      </c>
      <c r="DI71" t="e">
        <f t="shared" si="24"/>
        <v>#NUM!</v>
      </c>
      <c r="DJ71" t="e">
        <f t="shared" si="24"/>
        <v>#NUM!</v>
      </c>
      <c r="DK71" t="e">
        <f t="shared" si="24"/>
        <v>#NUM!</v>
      </c>
      <c r="DL71" t="e">
        <f t="shared" si="24"/>
        <v>#NUM!</v>
      </c>
      <c r="DM71" t="e">
        <f t="shared" si="24"/>
        <v>#NUM!</v>
      </c>
      <c r="DN71" t="e">
        <f t="shared" si="24"/>
        <v>#NUM!</v>
      </c>
      <c r="DO71" t="e">
        <f t="shared" si="24"/>
        <v>#NUM!</v>
      </c>
      <c r="DP71" t="e">
        <f t="shared" si="24"/>
        <v>#NUM!</v>
      </c>
    </row>
    <row r="72" spans="20:121" x14ac:dyDescent="0.25">
      <c r="U72">
        <f>MAX(U66:U68)</f>
        <v>0</v>
      </c>
      <c r="V72">
        <f>MAX(V66:V68)</f>
        <v>0</v>
      </c>
      <c r="W72">
        <f>MAX(W66:W68)</f>
        <v>0</v>
      </c>
      <c r="X72">
        <f t="shared" ref="X72:CI72" si="25">MAX(X66:X68)</f>
        <v>-1</v>
      </c>
      <c r="Y72">
        <f t="shared" si="25"/>
        <v>-1</v>
      </c>
      <c r="Z72">
        <f t="shared" si="25"/>
        <v>-1</v>
      </c>
      <c r="AA72">
        <f t="shared" si="25"/>
        <v>-2</v>
      </c>
      <c r="AB72">
        <f t="shared" si="25"/>
        <v>-2</v>
      </c>
      <c r="AC72">
        <f t="shared" si="25"/>
        <v>-2</v>
      </c>
      <c r="AD72">
        <f t="shared" si="25"/>
        <v>-3</v>
      </c>
      <c r="AE72">
        <f t="shared" si="25"/>
        <v>-3</v>
      </c>
      <c r="AF72">
        <f t="shared" si="25"/>
        <v>-3</v>
      </c>
      <c r="AG72">
        <f t="shared" si="25"/>
        <v>-4</v>
      </c>
      <c r="AH72">
        <f t="shared" si="25"/>
        <v>-4</v>
      </c>
      <c r="AI72">
        <f t="shared" si="25"/>
        <v>-4</v>
      </c>
      <c r="AJ72">
        <f t="shared" si="25"/>
        <v>-5</v>
      </c>
      <c r="AK72">
        <f t="shared" si="25"/>
        <v>-5</v>
      </c>
      <c r="AL72">
        <f t="shared" si="25"/>
        <v>-5</v>
      </c>
      <c r="AM72">
        <f t="shared" si="25"/>
        <v>-6</v>
      </c>
      <c r="AN72">
        <f t="shared" si="25"/>
        <v>-6</v>
      </c>
      <c r="AO72">
        <f t="shared" si="25"/>
        <v>-6</v>
      </c>
      <c r="AP72">
        <f t="shared" si="25"/>
        <v>-7</v>
      </c>
      <c r="AQ72">
        <f t="shared" si="25"/>
        <v>-7</v>
      </c>
      <c r="AR72">
        <f t="shared" si="25"/>
        <v>-7</v>
      </c>
      <c r="AS72">
        <f t="shared" si="25"/>
        <v>-8</v>
      </c>
      <c r="AT72">
        <f t="shared" si="25"/>
        <v>-8</v>
      </c>
      <c r="AU72">
        <f t="shared" si="25"/>
        <v>-8</v>
      </c>
      <c r="AV72">
        <f t="shared" si="25"/>
        <v>-9</v>
      </c>
      <c r="AW72">
        <f t="shared" si="25"/>
        <v>-9</v>
      </c>
      <c r="AX72">
        <f t="shared" si="25"/>
        <v>-9</v>
      </c>
      <c r="AY72">
        <f t="shared" si="25"/>
        <v>-10</v>
      </c>
      <c r="AZ72">
        <f t="shared" si="25"/>
        <v>-10</v>
      </c>
      <c r="BA72">
        <f t="shared" si="25"/>
        <v>-10</v>
      </c>
      <c r="BB72">
        <f t="shared" si="25"/>
        <v>-11</v>
      </c>
      <c r="BC72">
        <f t="shared" si="25"/>
        <v>-11</v>
      </c>
      <c r="BD72">
        <f t="shared" si="25"/>
        <v>-11</v>
      </c>
      <c r="BE72">
        <f t="shared" si="25"/>
        <v>-12</v>
      </c>
      <c r="BF72">
        <f t="shared" si="25"/>
        <v>-12</v>
      </c>
      <c r="BG72">
        <f t="shared" si="25"/>
        <v>-12</v>
      </c>
      <c r="BH72">
        <f t="shared" si="25"/>
        <v>-13</v>
      </c>
      <c r="BI72">
        <f t="shared" si="25"/>
        <v>-13</v>
      </c>
      <c r="BJ72">
        <f t="shared" si="25"/>
        <v>-13</v>
      </c>
      <c r="BK72">
        <f t="shared" si="25"/>
        <v>-14</v>
      </c>
      <c r="BL72">
        <f t="shared" si="25"/>
        <v>-14</v>
      </c>
      <c r="BM72">
        <f t="shared" si="25"/>
        <v>-14</v>
      </c>
      <c r="BN72">
        <f t="shared" si="25"/>
        <v>-15</v>
      </c>
      <c r="BO72">
        <f t="shared" si="25"/>
        <v>-15</v>
      </c>
      <c r="BP72">
        <f t="shared" si="25"/>
        <v>-15</v>
      </c>
      <c r="BQ72">
        <f t="shared" si="25"/>
        <v>-16</v>
      </c>
      <c r="BR72">
        <f t="shared" si="25"/>
        <v>-16</v>
      </c>
      <c r="BS72">
        <f t="shared" si="25"/>
        <v>-16</v>
      </c>
      <c r="BT72">
        <f t="shared" si="25"/>
        <v>-17</v>
      </c>
      <c r="BU72">
        <f t="shared" si="25"/>
        <v>-17</v>
      </c>
      <c r="BV72">
        <f t="shared" si="25"/>
        <v>-17</v>
      </c>
      <c r="BW72">
        <f t="shared" si="25"/>
        <v>-18</v>
      </c>
      <c r="BX72">
        <f t="shared" si="25"/>
        <v>-18</v>
      </c>
      <c r="BY72">
        <f t="shared" si="25"/>
        <v>-18</v>
      </c>
      <c r="BZ72">
        <f t="shared" si="25"/>
        <v>-19</v>
      </c>
      <c r="CA72">
        <f t="shared" si="25"/>
        <v>-19</v>
      </c>
      <c r="CB72">
        <f t="shared" si="25"/>
        <v>-19</v>
      </c>
      <c r="CC72">
        <f t="shared" si="25"/>
        <v>-20</v>
      </c>
      <c r="CD72">
        <f t="shared" si="25"/>
        <v>-20</v>
      </c>
      <c r="CE72">
        <f t="shared" si="25"/>
        <v>-20</v>
      </c>
      <c r="CF72">
        <f t="shared" si="25"/>
        <v>-21</v>
      </c>
      <c r="CG72">
        <f t="shared" si="25"/>
        <v>-21</v>
      </c>
      <c r="CH72">
        <f t="shared" si="25"/>
        <v>-21</v>
      </c>
      <c r="CI72">
        <f t="shared" si="25"/>
        <v>-22</v>
      </c>
      <c r="CJ72">
        <f t="shared" ref="CJ72:DP72" si="26">MAX(CJ66:CJ68)</f>
        <v>-22</v>
      </c>
      <c r="CK72">
        <f t="shared" si="26"/>
        <v>-22</v>
      </c>
      <c r="CL72">
        <f t="shared" si="26"/>
        <v>-23</v>
      </c>
      <c r="CM72">
        <f t="shared" si="26"/>
        <v>-23</v>
      </c>
      <c r="CN72">
        <f t="shared" si="26"/>
        <v>-23</v>
      </c>
      <c r="CO72">
        <f t="shared" si="26"/>
        <v>-24</v>
      </c>
      <c r="CP72">
        <f t="shared" si="26"/>
        <v>-24</v>
      </c>
      <c r="CQ72">
        <f t="shared" si="26"/>
        <v>-24</v>
      </c>
      <c r="CR72">
        <f t="shared" si="26"/>
        <v>-25</v>
      </c>
      <c r="CS72">
        <f t="shared" si="26"/>
        <v>-25</v>
      </c>
      <c r="CT72">
        <f t="shared" si="26"/>
        <v>-25</v>
      </c>
      <c r="CU72">
        <f t="shared" si="26"/>
        <v>-26</v>
      </c>
      <c r="CV72">
        <f t="shared" si="26"/>
        <v>-26</v>
      </c>
      <c r="CW72">
        <f t="shared" si="26"/>
        <v>-26</v>
      </c>
      <c r="CX72">
        <f t="shared" si="26"/>
        <v>-27</v>
      </c>
      <c r="CY72">
        <f t="shared" si="26"/>
        <v>-27</v>
      </c>
      <c r="CZ72">
        <f t="shared" si="26"/>
        <v>-27</v>
      </c>
      <c r="DA72">
        <f t="shared" si="26"/>
        <v>-28</v>
      </c>
      <c r="DB72">
        <f t="shared" si="26"/>
        <v>-28</v>
      </c>
      <c r="DC72">
        <f t="shared" si="26"/>
        <v>-28</v>
      </c>
      <c r="DD72">
        <f t="shared" si="26"/>
        <v>-29</v>
      </c>
      <c r="DE72">
        <f t="shared" si="26"/>
        <v>-29</v>
      </c>
      <c r="DF72">
        <f t="shared" si="26"/>
        <v>-29</v>
      </c>
      <c r="DG72">
        <f t="shared" si="26"/>
        <v>-30</v>
      </c>
      <c r="DH72">
        <f t="shared" si="26"/>
        <v>-30</v>
      </c>
      <c r="DI72">
        <f t="shared" si="26"/>
        <v>-30</v>
      </c>
      <c r="DJ72">
        <f t="shared" si="26"/>
        <v>-31</v>
      </c>
      <c r="DK72">
        <f t="shared" si="26"/>
        <v>-31</v>
      </c>
      <c r="DL72">
        <f t="shared" si="26"/>
        <v>-31</v>
      </c>
      <c r="DM72">
        <f t="shared" si="26"/>
        <v>-32</v>
      </c>
      <c r="DN72">
        <f t="shared" si="26"/>
        <v>-32</v>
      </c>
      <c r="DO72">
        <f t="shared" si="26"/>
        <v>-32</v>
      </c>
      <c r="DP72">
        <f t="shared" si="26"/>
        <v>-33</v>
      </c>
    </row>
    <row r="73" spans="20:121" x14ac:dyDescent="0.25">
      <c r="U73" t="str">
        <f>VLOOKUP(U72,U66:DQ68,101,FALSE)</f>
        <v>Standard</v>
      </c>
      <c r="V73" t="str">
        <f>VLOOKUP(V72,V66:DR68,V74,FALSE)</f>
        <v>Premium</v>
      </c>
      <c r="W73" t="str">
        <f>VLOOKUP(W72,W66:DS68,W74,FALSE)</f>
        <v>Super Premium</v>
      </c>
      <c r="X73" t="str">
        <f t="shared" ref="X73:AI73" si="27">VLOOKUP(X72,X66:DT68,X74,FALSE)</f>
        <v>Standard</v>
      </c>
      <c r="Y73" t="str">
        <f t="shared" si="27"/>
        <v>Premium</v>
      </c>
      <c r="Z73" t="str">
        <f t="shared" si="27"/>
        <v>Super Premium</v>
      </c>
      <c r="AA73" t="str">
        <f t="shared" si="27"/>
        <v>Standard</v>
      </c>
      <c r="AB73" t="str">
        <f t="shared" si="27"/>
        <v>Premium</v>
      </c>
      <c r="AC73" t="str">
        <f t="shared" si="27"/>
        <v>Super Premium</v>
      </c>
      <c r="AD73" t="str">
        <f t="shared" si="27"/>
        <v>Standard</v>
      </c>
      <c r="AE73" t="str">
        <f t="shared" si="27"/>
        <v>Premium</v>
      </c>
      <c r="AF73" t="str">
        <f t="shared" si="27"/>
        <v>Super Premium</v>
      </c>
      <c r="AG73" t="str">
        <f t="shared" si="27"/>
        <v>Standard</v>
      </c>
      <c r="AH73" t="str">
        <f t="shared" si="27"/>
        <v>Premium</v>
      </c>
      <c r="AI73" t="str">
        <f t="shared" si="27"/>
        <v>Super Premium</v>
      </c>
      <c r="AJ73" t="str">
        <f>VLOOKUP(AJ72,AJ66:EF68,AJ74,FALSE)</f>
        <v>Standard</v>
      </c>
      <c r="AK73" t="str">
        <f t="shared" ref="AK73:CV73" si="28">VLOOKUP(AK72,AK66:EG68,AK74,FALSE)</f>
        <v>Premium</v>
      </c>
      <c r="AL73" t="str">
        <f t="shared" si="28"/>
        <v>Super Premium</v>
      </c>
      <c r="AM73" t="str">
        <f t="shared" si="28"/>
        <v>Standard</v>
      </c>
      <c r="AN73" t="str">
        <f t="shared" si="28"/>
        <v>Premium</v>
      </c>
      <c r="AO73" t="str">
        <f t="shared" si="28"/>
        <v>Super Premium</v>
      </c>
      <c r="AP73" t="str">
        <f t="shared" si="28"/>
        <v>Standard</v>
      </c>
      <c r="AQ73" t="str">
        <f t="shared" si="28"/>
        <v>Premium</v>
      </c>
      <c r="AR73" t="str">
        <f t="shared" si="28"/>
        <v>Super Premium</v>
      </c>
      <c r="AS73" t="str">
        <f t="shared" si="28"/>
        <v>Standard</v>
      </c>
      <c r="AT73" t="str">
        <f t="shared" si="28"/>
        <v>Premium</v>
      </c>
      <c r="AU73" t="str">
        <f t="shared" si="28"/>
        <v>Super Premium</v>
      </c>
      <c r="AV73" t="str">
        <f t="shared" si="28"/>
        <v>Standard</v>
      </c>
      <c r="AW73" t="str">
        <f t="shared" si="28"/>
        <v>Premium</v>
      </c>
      <c r="AX73" t="str">
        <f t="shared" si="28"/>
        <v>Super Premium</v>
      </c>
      <c r="AY73" t="str">
        <f t="shared" si="28"/>
        <v>Standard</v>
      </c>
      <c r="AZ73" t="str">
        <f t="shared" si="28"/>
        <v>Premium</v>
      </c>
      <c r="BA73" t="str">
        <f t="shared" si="28"/>
        <v>Super Premium</v>
      </c>
      <c r="BB73" t="str">
        <f t="shared" si="28"/>
        <v>Standard</v>
      </c>
      <c r="BC73" t="str">
        <f t="shared" si="28"/>
        <v>Premium</v>
      </c>
      <c r="BD73" t="str">
        <f t="shared" si="28"/>
        <v>Super Premium</v>
      </c>
      <c r="BE73" t="str">
        <f t="shared" si="28"/>
        <v>Standard</v>
      </c>
      <c r="BF73" t="str">
        <f t="shared" si="28"/>
        <v>Premium</v>
      </c>
      <c r="BG73" t="str">
        <f t="shared" si="28"/>
        <v>Super Premium</v>
      </c>
      <c r="BH73" t="str">
        <f t="shared" si="28"/>
        <v>Standard</v>
      </c>
      <c r="BI73" t="str">
        <f t="shared" si="28"/>
        <v>Premium</v>
      </c>
      <c r="BJ73" t="str">
        <f t="shared" si="28"/>
        <v>Super Premium</v>
      </c>
      <c r="BK73" t="str">
        <f t="shared" si="28"/>
        <v>Standard</v>
      </c>
      <c r="BL73" t="str">
        <f t="shared" si="28"/>
        <v>Premium</v>
      </c>
      <c r="BM73" t="str">
        <f t="shared" si="28"/>
        <v>Super Premium</v>
      </c>
      <c r="BN73" t="str">
        <f t="shared" si="28"/>
        <v>Standard</v>
      </c>
      <c r="BO73" t="str">
        <f t="shared" si="28"/>
        <v>Premium</v>
      </c>
      <c r="BP73" t="str">
        <f t="shared" si="28"/>
        <v>Super Premium</v>
      </c>
      <c r="BQ73" t="str">
        <f t="shared" si="28"/>
        <v>Standard</v>
      </c>
      <c r="BR73" t="str">
        <f t="shared" si="28"/>
        <v>Premium</v>
      </c>
      <c r="BS73" t="str">
        <f t="shared" si="28"/>
        <v>Super Premium</v>
      </c>
      <c r="BT73" t="str">
        <f t="shared" si="28"/>
        <v>Standard</v>
      </c>
      <c r="BU73" t="str">
        <f t="shared" si="28"/>
        <v>Premium</v>
      </c>
      <c r="BV73" t="str">
        <f t="shared" si="28"/>
        <v>Super Premium</v>
      </c>
      <c r="BW73" t="str">
        <f t="shared" si="28"/>
        <v>Standard</v>
      </c>
      <c r="BX73" t="str">
        <f t="shared" si="28"/>
        <v>Premium</v>
      </c>
      <c r="BY73" t="str">
        <f t="shared" si="28"/>
        <v>Super Premium</v>
      </c>
      <c r="BZ73" t="str">
        <f t="shared" si="28"/>
        <v>Standard</v>
      </c>
      <c r="CA73" t="str">
        <f t="shared" si="28"/>
        <v>Premium</v>
      </c>
      <c r="CB73" t="str">
        <f t="shared" si="28"/>
        <v>Super Premium</v>
      </c>
      <c r="CC73" t="str">
        <f t="shared" si="28"/>
        <v>Standard</v>
      </c>
      <c r="CD73" t="str">
        <f t="shared" si="28"/>
        <v>Premium</v>
      </c>
      <c r="CE73" t="str">
        <f t="shared" si="28"/>
        <v>Super Premium</v>
      </c>
      <c r="CF73" t="str">
        <f t="shared" si="28"/>
        <v>Standard</v>
      </c>
      <c r="CG73" t="str">
        <f t="shared" si="28"/>
        <v>Premium</v>
      </c>
      <c r="CH73" t="str">
        <f t="shared" si="28"/>
        <v>Super Premium</v>
      </c>
      <c r="CI73" t="str">
        <f t="shared" si="28"/>
        <v>Standard</v>
      </c>
      <c r="CJ73" t="str">
        <f t="shared" si="28"/>
        <v>Premium</v>
      </c>
      <c r="CK73" t="str">
        <f t="shared" si="28"/>
        <v>Super Premium</v>
      </c>
      <c r="CL73" t="str">
        <f t="shared" si="28"/>
        <v>Standard</v>
      </c>
      <c r="CM73" t="str">
        <f t="shared" si="28"/>
        <v>Premium</v>
      </c>
      <c r="CN73" t="str">
        <f t="shared" si="28"/>
        <v>Super Premium</v>
      </c>
      <c r="CO73" t="str">
        <f t="shared" si="28"/>
        <v>Standard</v>
      </c>
      <c r="CP73" t="str">
        <f t="shared" si="28"/>
        <v>Premium</v>
      </c>
      <c r="CQ73" t="str">
        <f t="shared" si="28"/>
        <v>Super Premium</v>
      </c>
      <c r="CR73" t="str">
        <f t="shared" si="28"/>
        <v>Standard</v>
      </c>
      <c r="CS73" t="str">
        <f t="shared" si="28"/>
        <v>Premium</v>
      </c>
      <c r="CT73" t="str">
        <f t="shared" si="28"/>
        <v>Super Premium</v>
      </c>
      <c r="CU73" t="str">
        <f t="shared" si="28"/>
        <v>Standard</v>
      </c>
      <c r="CV73" t="str">
        <f t="shared" si="28"/>
        <v>Premium</v>
      </c>
      <c r="CW73" t="str">
        <f t="shared" ref="CW73:DP73" si="29">VLOOKUP(CW72,CW66:GS68,CW74,FALSE)</f>
        <v>Super Premium</v>
      </c>
      <c r="CX73" t="str">
        <f t="shared" si="29"/>
        <v>Standard</v>
      </c>
      <c r="CY73" t="str">
        <f t="shared" si="29"/>
        <v>Premium</v>
      </c>
      <c r="CZ73" t="str">
        <f t="shared" si="29"/>
        <v>Super Premium</v>
      </c>
      <c r="DA73" t="str">
        <f t="shared" si="29"/>
        <v>Standard</v>
      </c>
      <c r="DB73" t="str">
        <f t="shared" si="29"/>
        <v>Premium</v>
      </c>
      <c r="DC73" t="str">
        <f t="shared" si="29"/>
        <v>Super Premium</v>
      </c>
      <c r="DD73" t="str">
        <f t="shared" si="29"/>
        <v>Standard</v>
      </c>
      <c r="DE73" t="str">
        <f t="shared" si="29"/>
        <v>Premium</v>
      </c>
      <c r="DF73" t="str">
        <f t="shared" si="29"/>
        <v>Super Premium</v>
      </c>
      <c r="DG73" t="str">
        <f t="shared" si="29"/>
        <v>Standard</v>
      </c>
      <c r="DH73" t="str">
        <f t="shared" si="29"/>
        <v>Premium</v>
      </c>
      <c r="DI73" t="str">
        <f t="shared" si="29"/>
        <v>Super Premium</v>
      </c>
      <c r="DJ73" t="str">
        <f t="shared" si="29"/>
        <v>Standard</v>
      </c>
      <c r="DK73" t="str">
        <f t="shared" si="29"/>
        <v>Premium</v>
      </c>
      <c r="DL73" t="str">
        <f t="shared" si="29"/>
        <v>Super Premium</v>
      </c>
      <c r="DM73" t="str">
        <f t="shared" si="29"/>
        <v>Standard</v>
      </c>
      <c r="DN73" t="str">
        <f t="shared" si="29"/>
        <v>Premium</v>
      </c>
      <c r="DO73" t="str">
        <f t="shared" si="29"/>
        <v>Super Premium</v>
      </c>
      <c r="DP73" t="str">
        <f t="shared" si="29"/>
        <v>Standard</v>
      </c>
    </row>
    <row r="74" spans="20:121" x14ac:dyDescent="0.25">
      <c r="U74">
        <v>101</v>
      </c>
      <c r="V74">
        <v>100</v>
      </c>
      <c r="W74">
        <v>99</v>
      </c>
      <c r="X74">
        <v>98</v>
      </c>
      <c r="Y74">
        <v>97</v>
      </c>
      <c r="Z74">
        <v>96</v>
      </c>
      <c r="AA74">
        <v>95</v>
      </c>
      <c r="AB74">
        <v>94</v>
      </c>
      <c r="AC74">
        <v>93</v>
      </c>
      <c r="AD74">
        <v>92</v>
      </c>
      <c r="AE74">
        <v>91</v>
      </c>
      <c r="AF74">
        <v>90</v>
      </c>
      <c r="AG74">
        <v>89</v>
      </c>
      <c r="AH74">
        <v>88</v>
      </c>
      <c r="AI74">
        <v>87</v>
      </c>
      <c r="AJ74">
        <v>86</v>
      </c>
      <c r="AK74">
        <v>85</v>
      </c>
      <c r="AL74">
        <v>84</v>
      </c>
      <c r="AM74">
        <v>83</v>
      </c>
      <c r="AN74">
        <v>82</v>
      </c>
      <c r="AO74">
        <v>81</v>
      </c>
      <c r="AP74">
        <v>80</v>
      </c>
      <c r="AQ74">
        <v>79</v>
      </c>
      <c r="AR74">
        <v>78</v>
      </c>
      <c r="AS74">
        <v>77</v>
      </c>
      <c r="AT74">
        <v>76</v>
      </c>
      <c r="AU74">
        <v>75</v>
      </c>
      <c r="AV74">
        <v>74</v>
      </c>
      <c r="AW74">
        <v>73</v>
      </c>
      <c r="AX74">
        <v>72</v>
      </c>
      <c r="AY74">
        <v>71</v>
      </c>
      <c r="AZ74">
        <v>70</v>
      </c>
      <c r="BA74">
        <v>69</v>
      </c>
      <c r="BB74">
        <v>68</v>
      </c>
      <c r="BC74">
        <v>67</v>
      </c>
      <c r="BD74">
        <v>66</v>
      </c>
      <c r="BE74">
        <v>65</v>
      </c>
      <c r="BF74">
        <v>64</v>
      </c>
      <c r="BG74">
        <v>63</v>
      </c>
      <c r="BH74">
        <v>62</v>
      </c>
      <c r="BI74">
        <v>61</v>
      </c>
      <c r="BJ74">
        <v>60</v>
      </c>
      <c r="BK74">
        <v>59</v>
      </c>
      <c r="BL74">
        <v>58</v>
      </c>
      <c r="BM74">
        <v>57</v>
      </c>
      <c r="BN74">
        <v>56</v>
      </c>
      <c r="BO74">
        <v>55</v>
      </c>
      <c r="BP74">
        <v>54</v>
      </c>
      <c r="BQ74">
        <v>53</v>
      </c>
      <c r="BR74">
        <v>52</v>
      </c>
      <c r="BS74">
        <v>51</v>
      </c>
      <c r="BT74">
        <v>50</v>
      </c>
      <c r="BU74">
        <v>49</v>
      </c>
      <c r="BV74">
        <v>48</v>
      </c>
      <c r="BW74">
        <v>47</v>
      </c>
      <c r="BX74">
        <v>46</v>
      </c>
      <c r="BY74">
        <v>45</v>
      </c>
      <c r="BZ74">
        <v>44</v>
      </c>
      <c r="CA74">
        <v>43</v>
      </c>
      <c r="CB74">
        <v>42</v>
      </c>
      <c r="CC74">
        <v>41</v>
      </c>
      <c r="CD74">
        <v>40</v>
      </c>
      <c r="CE74">
        <v>39</v>
      </c>
      <c r="CF74">
        <v>38</v>
      </c>
      <c r="CG74">
        <v>37</v>
      </c>
      <c r="CH74">
        <v>36</v>
      </c>
      <c r="CI74">
        <v>35</v>
      </c>
      <c r="CJ74">
        <v>34</v>
      </c>
      <c r="CK74">
        <v>33</v>
      </c>
      <c r="CL74">
        <v>32</v>
      </c>
      <c r="CM74">
        <v>31</v>
      </c>
      <c r="CN74">
        <v>30</v>
      </c>
      <c r="CO74">
        <v>29</v>
      </c>
      <c r="CP74">
        <v>28</v>
      </c>
      <c r="CQ74">
        <v>27</v>
      </c>
      <c r="CR74">
        <v>26</v>
      </c>
      <c r="CS74">
        <v>25</v>
      </c>
      <c r="CT74">
        <v>24</v>
      </c>
      <c r="CU74">
        <v>23</v>
      </c>
      <c r="CV74">
        <v>22</v>
      </c>
      <c r="CW74">
        <v>21</v>
      </c>
      <c r="CX74">
        <v>20</v>
      </c>
      <c r="CY74">
        <v>19</v>
      </c>
      <c r="CZ74">
        <v>18</v>
      </c>
      <c r="DA74">
        <v>17</v>
      </c>
      <c r="DB74">
        <v>16</v>
      </c>
      <c r="DC74">
        <v>15</v>
      </c>
      <c r="DD74">
        <v>14</v>
      </c>
      <c r="DE74">
        <v>13</v>
      </c>
      <c r="DF74">
        <v>12</v>
      </c>
      <c r="DG74">
        <v>11</v>
      </c>
      <c r="DH74">
        <v>10</v>
      </c>
      <c r="DI74">
        <v>9</v>
      </c>
      <c r="DJ74">
        <v>8</v>
      </c>
      <c r="DK74">
        <v>7</v>
      </c>
      <c r="DL74">
        <v>6</v>
      </c>
      <c r="DM74">
        <v>5</v>
      </c>
      <c r="DN74">
        <v>4</v>
      </c>
      <c r="DO74">
        <v>3</v>
      </c>
      <c r="DP74">
        <v>2</v>
      </c>
      <c r="DQ74">
        <v>1</v>
      </c>
    </row>
    <row r="75" spans="20:121" x14ac:dyDescent="0.25">
      <c r="U75" t="e">
        <f>U71&amp;U73</f>
        <v>#NUM!</v>
      </c>
      <c r="V75" t="e">
        <f>V71&amp;V73</f>
        <v>#NUM!</v>
      </c>
      <c r="W75" t="e">
        <f t="shared" ref="W75:CH75" si="30">W71&amp;W73</f>
        <v>#NUM!</v>
      </c>
      <c r="X75" t="e">
        <f t="shared" si="30"/>
        <v>#NUM!</v>
      </c>
      <c r="Y75" t="e">
        <f t="shared" si="30"/>
        <v>#NUM!</v>
      </c>
      <c r="Z75" t="e">
        <f t="shared" si="30"/>
        <v>#NUM!</v>
      </c>
      <c r="AA75" t="e">
        <f t="shared" si="30"/>
        <v>#NUM!</v>
      </c>
      <c r="AB75" t="e">
        <f t="shared" si="30"/>
        <v>#NUM!</v>
      </c>
      <c r="AC75" t="e">
        <f t="shared" si="30"/>
        <v>#NUM!</v>
      </c>
      <c r="AD75" t="e">
        <f t="shared" si="30"/>
        <v>#NUM!</v>
      </c>
      <c r="AE75" t="e">
        <f t="shared" si="30"/>
        <v>#NUM!</v>
      </c>
      <c r="AF75" t="e">
        <f t="shared" si="30"/>
        <v>#NUM!</v>
      </c>
      <c r="AG75" t="e">
        <f t="shared" si="30"/>
        <v>#NUM!</v>
      </c>
      <c r="AH75" t="e">
        <f t="shared" si="30"/>
        <v>#NUM!</v>
      </c>
      <c r="AI75" t="e">
        <f t="shared" si="30"/>
        <v>#NUM!</v>
      </c>
      <c r="AJ75" t="e">
        <f t="shared" si="30"/>
        <v>#NUM!</v>
      </c>
      <c r="AK75" t="e">
        <f t="shared" si="30"/>
        <v>#NUM!</v>
      </c>
      <c r="AL75" t="e">
        <f t="shared" si="30"/>
        <v>#NUM!</v>
      </c>
      <c r="AM75" t="e">
        <f t="shared" si="30"/>
        <v>#NUM!</v>
      </c>
      <c r="AN75" t="e">
        <f t="shared" si="30"/>
        <v>#NUM!</v>
      </c>
      <c r="AO75" t="e">
        <f t="shared" si="30"/>
        <v>#NUM!</v>
      </c>
      <c r="AP75" t="e">
        <f t="shared" si="30"/>
        <v>#NUM!</v>
      </c>
      <c r="AQ75" t="e">
        <f t="shared" si="30"/>
        <v>#NUM!</v>
      </c>
      <c r="AR75" t="e">
        <f t="shared" si="30"/>
        <v>#NUM!</v>
      </c>
      <c r="AS75" t="e">
        <f t="shared" si="30"/>
        <v>#NUM!</v>
      </c>
      <c r="AT75" t="e">
        <f t="shared" si="30"/>
        <v>#NUM!</v>
      </c>
      <c r="AU75" t="e">
        <f t="shared" si="30"/>
        <v>#NUM!</v>
      </c>
      <c r="AV75" t="e">
        <f t="shared" si="30"/>
        <v>#NUM!</v>
      </c>
      <c r="AW75" t="e">
        <f t="shared" si="30"/>
        <v>#NUM!</v>
      </c>
      <c r="AX75" t="e">
        <f t="shared" si="30"/>
        <v>#NUM!</v>
      </c>
      <c r="AY75" t="e">
        <f t="shared" si="30"/>
        <v>#NUM!</v>
      </c>
      <c r="AZ75" t="e">
        <f t="shared" si="30"/>
        <v>#NUM!</v>
      </c>
      <c r="BA75" t="e">
        <f t="shared" si="30"/>
        <v>#NUM!</v>
      </c>
      <c r="BB75" t="e">
        <f t="shared" si="30"/>
        <v>#NUM!</v>
      </c>
      <c r="BC75" t="e">
        <f t="shared" si="30"/>
        <v>#NUM!</v>
      </c>
      <c r="BD75" t="e">
        <f t="shared" si="30"/>
        <v>#NUM!</v>
      </c>
      <c r="BE75" t="e">
        <f t="shared" si="30"/>
        <v>#NUM!</v>
      </c>
      <c r="BF75" t="e">
        <f t="shared" si="30"/>
        <v>#NUM!</v>
      </c>
      <c r="BG75" t="e">
        <f t="shared" si="30"/>
        <v>#NUM!</v>
      </c>
      <c r="BH75" t="e">
        <f t="shared" si="30"/>
        <v>#NUM!</v>
      </c>
      <c r="BI75" t="e">
        <f t="shared" si="30"/>
        <v>#NUM!</v>
      </c>
      <c r="BJ75" t="e">
        <f t="shared" si="30"/>
        <v>#NUM!</v>
      </c>
      <c r="BK75" t="e">
        <f t="shared" si="30"/>
        <v>#NUM!</v>
      </c>
      <c r="BL75" t="e">
        <f t="shared" si="30"/>
        <v>#NUM!</v>
      </c>
      <c r="BM75" t="e">
        <f t="shared" si="30"/>
        <v>#NUM!</v>
      </c>
      <c r="BN75" t="e">
        <f t="shared" si="30"/>
        <v>#NUM!</v>
      </c>
      <c r="BO75" t="e">
        <f t="shared" si="30"/>
        <v>#NUM!</v>
      </c>
      <c r="BP75" t="e">
        <f t="shared" si="30"/>
        <v>#NUM!</v>
      </c>
      <c r="BQ75" t="e">
        <f t="shared" si="30"/>
        <v>#NUM!</v>
      </c>
      <c r="BR75" t="e">
        <f t="shared" si="30"/>
        <v>#NUM!</v>
      </c>
      <c r="BS75" t="e">
        <f t="shared" si="30"/>
        <v>#NUM!</v>
      </c>
      <c r="BT75" t="e">
        <f t="shared" si="30"/>
        <v>#NUM!</v>
      </c>
      <c r="BU75" t="e">
        <f t="shared" si="30"/>
        <v>#NUM!</v>
      </c>
      <c r="BV75" t="e">
        <f t="shared" si="30"/>
        <v>#NUM!</v>
      </c>
      <c r="BW75" t="e">
        <f t="shared" si="30"/>
        <v>#NUM!</v>
      </c>
      <c r="BX75" t="e">
        <f t="shared" si="30"/>
        <v>#NUM!</v>
      </c>
      <c r="BY75" t="e">
        <f t="shared" si="30"/>
        <v>#NUM!</v>
      </c>
      <c r="BZ75" t="e">
        <f t="shared" si="30"/>
        <v>#NUM!</v>
      </c>
      <c r="CA75" t="e">
        <f t="shared" si="30"/>
        <v>#NUM!</v>
      </c>
      <c r="CB75" t="e">
        <f t="shared" si="30"/>
        <v>#NUM!</v>
      </c>
      <c r="CC75" t="e">
        <f t="shared" si="30"/>
        <v>#NUM!</v>
      </c>
      <c r="CD75" t="e">
        <f t="shared" si="30"/>
        <v>#NUM!</v>
      </c>
      <c r="CE75" t="e">
        <f t="shared" si="30"/>
        <v>#NUM!</v>
      </c>
      <c r="CF75" t="e">
        <f t="shared" si="30"/>
        <v>#NUM!</v>
      </c>
      <c r="CG75" t="e">
        <f t="shared" si="30"/>
        <v>#NUM!</v>
      </c>
      <c r="CH75" t="e">
        <f t="shared" si="30"/>
        <v>#NUM!</v>
      </c>
      <c r="CI75" t="e">
        <f t="shared" ref="CI75:DP75" si="31">CI71&amp;CI73</f>
        <v>#NUM!</v>
      </c>
      <c r="CJ75" t="e">
        <f t="shared" si="31"/>
        <v>#NUM!</v>
      </c>
      <c r="CK75" t="e">
        <f t="shared" si="31"/>
        <v>#NUM!</v>
      </c>
      <c r="CL75" t="e">
        <f t="shared" si="31"/>
        <v>#NUM!</v>
      </c>
      <c r="CM75" t="e">
        <f t="shared" si="31"/>
        <v>#NUM!</v>
      </c>
      <c r="CN75" t="e">
        <f t="shared" si="31"/>
        <v>#NUM!</v>
      </c>
      <c r="CO75" t="e">
        <f t="shared" si="31"/>
        <v>#NUM!</v>
      </c>
      <c r="CP75" t="e">
        <f t="shared" si="31"/>
        <v>#NUM!</v>
      </c>
      <c r="CQ75" t="e">
        <f t="shared" si="31"/>
        <v>#NUM!</v>
      </c>
      <c r="CR75" t="e">
        <f t="shared" si="31"/>
        <v>#NUM!</v>
      </c>
      <c r="CS75" t="e">
        <f t="shared" si="31"/>
        <v>#NUM!</v>
      </c>
      <c r="CT75" t="e">
        <f t="shared" si="31"/>
        <v>#NUM!</v>
      </c>
      <c r="CU75" t="e">
        <f t="shared" si="31"/>
        <v>#NUM!</v>
      </c>
      <c r="CV75" t="e">
        <f t="shared" si="31"/>
        <v>#NUM!</v>
      </c>
      <c r="CW75" t="e">
        <f t="shared" si="31"/>
        <v>#NUM!</v>
      </c>
      <c r="CX75" t="e">
        <f t="shared" si="31"/>
        <v>#NUM!</v>
      </c>
      <c r="CY75" t="e">
        <f t="shared" si="31"/>
        <v>#NUM!</v>
      </c>
      <c r="CZ75" t="e">
        <f t="shared" si="31"/>
        <v>#NUM!</v>
      </c>
      <c r="DA75" t="e">
        <f t="shared" si="31"/>
        <v>#NUM!</v>
      </c>
      <c r="DB75" t="e">
        <f t="shared" si="31"/>
        <v>#NUM!</v>
      </c>
      <c r="DC75" t="e">
        <f t="shared" si="31"/>
        <v>#NUM!</v>
      </c>
      <c r="DD75" t="e">
        <f t="shared" si="31"/>
        <v>#NUM!</v>
      </c>
      <c r="DE75" t="e">
        <f t="shared" si="31"/>
        <v>#NUM!</v>
      </c>
      <c r="DF75" t="e">
        <f t="shared" si="31"/>
        <v>#NUM!</v>
      </c>
      <c r="DG75" t="e">
        <f t="shared" si="31"/>
        <v>#NUM!</v>
      </c>
      <c r="DH75" t="e">
        <f t="shared" si="31"/>
        <v>#NUM!</v>
      </c>
      <c r="DI75" t="e">
        <f t="shared" si="31"/>
        <v>#NUM!</v>
      </c>
      <c r="DJ75" t="e">
        <f t="shared" si="31"/>
        <v>#NUM!</v>
      </c>
      <c r="DK75" t="e">
        <f t="shared" si="31"/>
        <v>#NUM!</v>
      </c>
      <c r="DL75" t="e">
        <f t="shared" si="31"/>
        <v>#NUM!</v>
      </c>
      <c r="DM75" t="e">
        <f t="shared" si="31"/>
        <v>#NUM!</v>
      </c>
      <c r="DN75" t="e">
        <f t="shared" si="31"/>
        <v>#NUM!</v>
      </c>
      <c r="DO75" t="e">
        <f t="shared" si="31"/>
        <v>#NUM!</v>
      </c>
      <c r="DP75" t="e">
        <f t="shared" si="31"/>
        <v>#NUM!</v>
      </c>
    </row>
  </sheetData>
  <mergeCells count="1">
    <mergeCell ref="F5:F10"/>
  </mergeCells>
  <conditionalFormatting sqref="V23">
    <cfRule type="cellIs" dxfId="0" priority="1" operator="equal">
      <formula>$V$22</formula>
    </cfRule>
  </conditionalFormatting>
  <pageMargins left="0.7" right="0.7" top="0.75" bottom="0.75" header="0.3" footer="0.3"/>
  <pageSetup paperSize="2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Ruler="0" zoomScale="90" zoomScaleNormal="90" workbookViewId="0">
      <selection activeCell="L11" sqref="L11"/>
    </sheetView>
  </sheetViews>
  <sheetFormatPr defaultColWidth="9.140625" defaultRowHeight="15" x14ac:dyDescent="0.25"/>
  <cols>
    <col min="1" max="1" width="2.7109375" style="51" customWidth="1"/>
    <col min="2" max="2" width="12.85546875" style="51" customWidth="1"/>
    <col min="3" max="3" width="3.7109375" style="51" customWidth="1"/>
    <col min="4" max="8" width="9.140625" style="51"/>
    <col min="9" max="10" width="9.140625" style="51" customWidth="1"/>
    <col min="11" max="11" width="3.28515625" style="1" customWidth="1"/>
    <col min="12" max="14" width="138.85546875" style="1" customWidth="1"/>
    <col min="15" max="16384" width="9.140625" style="1"/>
  </cols>
  <sheetData>
    <row r="1" spans="1:12" x14ac:dyDescent="0.25">
      <c r="A1" s="41"/>
      <c r="B1" s="41"/>
      <c r="C1" s="41"/>
      <c r="D1" s="41"/>
      <c r="E1" s="41"/>
      <c r="F1" s="41"/>
      <c r="G1" s="41"/>
      <c r="H1" s="41"/>
      <c r="I1" s="41"/>
      <c r="J1" s="41"/>
      <c r="K1" s="42"/>
      <c r="L1" s="42"/>
    </row>
    <row r="2" spans="1:12" x14ac:dyDescent="0.25">
      <c r="A2" s="41"/>
      <c r="B2" s="225" t="s">
        <v>146</v>
      </c>
      <c r="C2" s="225"/>
      <c r="D2" s="225"/>
      <c r="E2" s="225"/>
      <c r="F2" s="225"/>
      <c r="G2" s="41"/>
      <c r="H2" s="41"/>
      <c r="I2" s="41"/>
      <c r="J2" s="41"/>
      <c r="K2" s="42"/>
      <c r="L2" s="42"/>
    </row>
    <row r="3" spans="1:12" x14ac:dyDescent="0.25">
      <c r="A3" s="41"/>
      <c r="B3" s="225"/>
      <c r="C3" s="225"/>
      <c r="D3" s="225"/>
      <c r="E3" s="225"/>
      <c r="F3" s="225"/>
      <c r="G3" s="41"/>
      <c r="H3" s="41"/>
      <c r="I3" s="41"/>
      <c r="J3" s="41"/>
      <c r="K3" s="42"/>
      <c r="L3" s="42"/>
    </row>
    <row r="4" spans="1:12" x14ac:dyDescent="0.25">
      <c r="A4" s="41"/>
      <c r="B4" s="41"/>
      <c r="C4" s="41"/>
      <c r="D4" s="41"/>
      <c r="E4" s="41"/>
      <c r="F4" s="41"/>
      <c r="G4" s="41"/>
      <c r="H4" s="41"/>
      <c r="I4" s="41"/>
      <c r="J4" s="41"/>
      <c r="K4" s="42"/>
      <c r="L4" s="42"/>
    </row>
    <row r="5" spans="1:12" x14ac:dyDescent="0.25">
      <c r="A5" s="41"/>
      <c r="B5" s="226" t="s">
        <v>147</v>
      </c>
      <c r="C5" s="226"/>
      <c r="D5" s="226"/>
      <c r="E5" s="226"/>
      <c r="F5" s="226"/>
      <c r="G5" s="41"/>
      <c r="H5" s="41"/>
      <c r="I5" s="41"/>
      <c r="J5" s="41"/>
      <c r="K5" s="42"/>
      <c r="L5" s="42"/>
    </row>
    <row r="6" spans="1:12" x14ac:dyDescent="0.25">
      <c r="A6" s="41"/>
      <c r="B6" s="226"/>
      <c r="C6" s="226"/>
      <c r="D6" s="226"/>
      <c r="E6" s="226"/>
      <c r="F6" s="226"/>
      <c r="G6" s="41"/>
      <c r="H6" s="41"/>
      <c r="I6" s="41"/>
      <c r="J6" s="41"/>
      <c r="K6" s="42"/>
      <c r="L6" s="42"/>
    </row>
    <row r="7" spans="1:12" x14ac:dyDescent="0.25">
      <c r="A7" s="41"/>
      <c r="B7" s="226"/>
      <c r="C7" s="226"/>
      <c r="D7" s="226"/>
      <c r="E7" s="226"/>
      <c r="F7" s="226"/>
      <c r="G7" s="41"/>
      <c r="H7" s="41"/>
      <c r="I7" s="41"/>
      <c r="J7" s="41"/>
      <c r="K7" s="42"/>
      <c r="L7" s="42"/>
    </row>
    <row r="8" spans="1:12" x14ac:dyDescent="0.25">
      <c r="A8" s="41"/>
      <c r="B8" s="226"/>
      <c r="C8" s="226"/>
      <c r="D8" s="226"/>
      <c r="E8" s="226"/>
      <c r="F8" s="226"/>
      <c r="G8" s="41"/>
      <c r="H8" s="41"/>
      <c r="I8" s="41"/>
      <c r="J8" s="41"/>
      <c r="K8" s="42"/>
      <c r="L8" s="42"/>
    </row>
    <row r="9" spans="1:12" x14ac:dyDescent="0.25">
      <c r="A9" s="41"/>
      <c r="B9" s="226"/>
      <c r="C9" s="226"/>
      <c r="D9" s="226"/>
      <c r="E9" s="226"/>
      <c r="F9" s="226"/>
      <c r="G9" s="41"/>
      <c r="H9" s="41"/>
      <c r="I9" s="41"/>
      <c r="J9" s="41"/>
      <c r="K9" s="42"/>
      <c r="L9" s="42"/>
    </row>
    <row r="10" spans="1:12" x14ac:dyDescent="0.25">
      <c r="A10" s="41"/>
      <c r="B10" s="41"/>
      <c r="C10" s="41"/>
      <c r="D10" s="41"/>
      <c r="E10" s="41"/>
      <c r="F10" s="41"/>
      <c r="G10" s="43"/>
      <c r="H10" s="43"/>
      <c r="I10" s="43"/>
      <c r="J10" s="43"/>
      <c r="K10" s="42"/>
      <c r="L10" s="42"/>
    </row>
    <row r="11" spans="1:12" x14ac:dyDescent="0.25">
      <c r="A11" s="41"/>
      <c r="B11" s="44"/>
      <c r="C11" s="44"/>
      <c r="D11" s="44"/>
      <c r="E11" s="44"/>
      <c r="F11" s="44"/>
      <c r="G11" s="41"/>
      <c r="H11" s="41"/>
      <c r="I11" s="41"/>
      <c r="J11" s="41"/>
      <c r="K11" s="42"/>
      <c r="L11" s="42"/>
    </row>
    <row r="12" spans="1:12" ht="15" customHeight="1" x14ac:dyDescent="0.25">
      <c r="A12" s="41"/>
      <c r="B12" s="221" t="e">
        <f>VLOOKUP('Range Check'!L4,'Lookup Table (Text to be added)'!A1:V5,19,FALSE)</f>
        <v>#N/A</v>
      </c>
      <c r="C12" s="221"/>
      <c r="D12" s="45"/>
      <c r="E12" s="46" t="s">
        <v>148</v>
      </c>
      <c r="F12" s="47"/>
      <c r="G12" s="47"/>
      <c r="H12" s="47"/>
      <c r="I12" s="47"/>
      <c r="J12" s="41"/>
      <c r="K12" s="42"/>
      <c r="L12" s="42"/>
    </row>
    <row r="13" spans="1:12" ht="15" customHeight="1" x14ac:dyDescent="0.25">
      <c r="A13" s="41"/>
      <c r="B13" s="221"/>
      <c r="C13" s="221"/>
      <c r="D13" s="45"/>
      <c r="E13" s="227" t="e">
        <f>IF(B12&lt;0.5,'Lookup Table (Text to be added)'!C9,IF(AND(B12&gt;=0.5,B12&lt;0.8),'Lookup Table (Text to be added)'!C10,IF(B12&gt;=0.8,'Lookup Table (Text to be added)'!C11,"")))</f>
        <v>#N/A</v>
      </c>
      <c r="F13" s="227"/>
      <c r="G13" s="227"/>
      <c r="H13" s="227"/>
      <c r="I13" s="227"/>
      <c r="J13" s="227"/>
      <c r="K13" s="42"/>
      <c r="L13" s="42"/>
    </row>
    <row r="14" spans="1:12" ht="15" customHeight="1" x14ac:dyDescent="0.25">
      <c r="A14" s="41"/>
      <c r="B14" s="221"/>
      <c r="C14" s="221"/>
      <c r="D14" s="45"/>
      <c r="E14" s="227"/>
      <c r="F14" s="227"/>
      <c r="G14" s="227"/>
      <c r="H14" s="227"/>
      <c r="I14" s="227"/>
      <c r="J14" s="227"/>
      <c r="K14" s="42"/>
      <c r="L14" s="42"/>
    </row>
    <row r="15" spans="1:12" ht="15" customHeight="1" x14ac:dyDescent="0.25">
      <c r="A15" s="41"/>
      <c r="B15" s="221"/>
      <c r="C15" s="221"/>
      <c r="D15" s="45"/>
      <c r="E15" s="227"/>
      <c r="F15" s="227"/>
      <c r="G15" s="227"/>
      <c r="H15" s="227"/>
      <c r="I15" s="227"/>
      <c r="J15" s="227"/>
      <c r="K15" s="42"/>
      <c r="L15" s="42"/>
    </row>
    <row r="16" spans="1:12" ht="15" customHeight="1" x14ac:dyDescent="0.25">
      <c r="A16" s="41"/>
      <c r="B16" s="41"/>
      <c r="C16" s="41"/>
      <c r="D16" s="41"/>
      <c r="E16" s="41"/>
      <c r="F16" s="41"/>
      <c r="G16" s="41"/>
      <c r="H16" s="41"/>
      <c r="I16" s="41"/>
      <c r="J16" s="41"/>
      <c r="K16" s="42"/>
      <c r="L16" s="42"/>
    </row>
    <row r="17" spans="1:12" x14ac:dyDescent="0.25">
      <c r="A17" s="41"/>
      <c r="B17" s="44"/>
      <c r="C17" s="44"/>
      <c r="D17" s="44"/>
      <c r="E17" s="44"/>
      <c r="F17" s="44"/>
      <c r="G17" s="44"/>
      <c r="H17" s="44"/>
      <c r="I17" s="44"/>
      <c r="J17" s="44"/>
      <c r="K17" s="42"/>
      <c r="L17" s="42"/>
    </row>
    <row r="18" spans="1:12" ht="15" customHeight="1" x14ac:dyDescent="0.25">
      <c r="A18" s="41"/>
      <c r="B18" s="220" t="e">
        <f>VLOOKUP(VLOOKUP('Range Check'!L4,'Lookup Table (Text to be added)'!A1:Y5,24,FALSE),'Lookup Table (Text to be added)'!A13:C17,2,FALSE)</f>
        <v>#N/A</v>
      </c>
      <c r="C18" s="220"/>
      <c r="D18" s="48"/>
      <c r="E18" s="46" t="s">
        <v>54</v>
      </c>
      <c r="F18" s="47"/>
      <c r="G18" s="47"/>
      <c r="H18" s="47"/>
      <c r="I18" s="47"/>
      <c r="J18" s="41"/>
      <c r="K18" s="42"/>
      <c r="L18" s="42"/>
    </row>
    <row r="19" spans="1:12" ht="15" customHeight="1" x14ac:dyDescent="0.25">
      <c r="A19" s="41"/>
      <c r="B19" s="220"/>
      <c r="C19" s="220"/>
      <c r="D19" s="48"/>
      <c r="E19" s="227" t="e">
        <f>VLOOKUP(VLOOKUP('Range Check'!L4,'Lookup Table (Text to be added)'!A1:Y5,24,FALSE),'Lookup Table (Text to be added)'!A13:C17,3,FALSE)</f>
        <v>#N/A</v>
      </c>
      <c r="F19" s="227"/>
      <c r="G19" s="227"/>
      <c r="H19" s="227"/>
      <c r="I19" s="227"/>
      <c r="J19" s="227"/>
      <c r="K19" s="42"/>
      <c r="L19" s="42"/>
    </row>
    <row r="20" spans="1:12" ht="15" customHeight="1" x14ac:dyDescent="0.25">
      <c r="A20" s="41"/>
      <c r="B20" s="220"/>
      <c r="C20" s="220"/>
      <c r="D20" s="48"/>
      <c r="E20" s="227"/>
      <c r="F20" s="227"/>
      <c r="G20" s="227"/>
      <c r="H20" s="227"/>
      <c r="I20" s="227"/>
      <c r="J20" s="227"/>
      <c r="K20" s="42"/>
      <c r="L20" s="42"/>
    </row>
    <row r="21" spans="1:12" ht="15" customHeight="1" x14ac:dyDescent="0.25">
      <c r="A21" s="41"/>
      <c r="B21" s="220"/>
      <c r="C21" s="220"/>
      <c r="D21" s="48"/>
      <c r="E21" s="227"/>
      <c r="F21" s="227"/>
      <c r="G21" s="227"/>
      <c r="H21" s="227"/>
      <c r="I21" s="227"/>
      <c r="J21" s="227"/>
      <c r="K21" s="42"/>
      <c r="L21" s="42"/>
    </row>
    <row r="22" spans="1:12" x14ac:dyDescent="0.25">
      <c r="A22" s="41"/>
      <c r="B22" s="41"/>
      <c r="C22" s="41"/>
      <c r="D22" s="41"/>
      <c r="E22" s="41"/>
      <c r="F22" s="41"/>
      <c r="G22" s="41"/>
      <c r="H22" s="41"/>
      <c r="I22" s="41"/>
      <c r="J22" s="41"/>
      <c r="K22" s="42"/>
      <c r="L22" s="42"/>
    </row>
    <row r="23" spans="1:12" x14ac:dyDescent="0.25">
      <c r="A23" s="41"/>
      <c r="B23" s="44"/>
      <c r="C23" s="44"/>
      <c r="D23" s="44"/>
      <c r="E23" s="44"/>
      <c r="F23" s="44"/>
      <c r="G23" s="44"/>
      <c r="H23" s="44"/>
      <c r="I23" s="44"/>
      <c r="J23" s="44"/>
      <c r="K23" s="42"/>
      <c r="L23" s="42"/>
    </row>
    <row r="24" spans="1:12" ht="15" customHeight="1" x14ac:dyDescent="0.25">
      <c r="A24" s="41"/>
      <c r="B24" s="220" t="e">
        <f>VLOOKUP(VLOOKUP('Range Check'!L4,'Lookup Table (Text to be added)'!A1:Y5,13,FALSE),'Lookup Table (Text to be added)'!A19:C23,2,FALSE)</f>
        <v>#N/A</v>
      </c>
      <c r="C24" s="220"/>
      <c r="D24" s="48"/>
      <c r="E24" s="46" t="s">
        <v>55</v>
      </c>
      <c r="F24" s="47"/>
      <c r="G24" s="47"/>
      <c r="H24" s="47"/>
      <c r="I24" s="47"/>
      <c r="J24" s="41"/>
      <c r="K24" s="42"/>
      <c r="L24" s="42"/>
    </row>
    <row r="25" spans="1:12" ht="15" customHeight="1" x14ac:dyDescent="0.25">
      <c r="A25" s="41"/>
      <c r="B25" s="220"/>
      <c r="C25" s="220"/>
      <c r="D25" s="48"/>
      <c r="E25" s="222" t="e">
        <f>VLOOKUP(VLOOKUP('Range Check'!L4,'Lookup Table (Text to be added)'!A1:Y5,13,FALSE),'Lookup Table (Text to be added)'!A19:C23,3,FALSE)</f>
        <v>#N/A</v>
      </c>
      <c r="F25" s="222"/>
      <c r="G25" s="222"/>
      <c r="H25" s="222"/>
      <c r="I25" s="222"/>
      <c r="J25" s="222"/>
      <c r="K25" s="42"/>
      <c r="L25" s="42"/>
    </row>
    <row r="26" spans="1:12" ht="15" customHeight="1" x14ac:dyDescent="0.25">
      <c r="A26" s="41"/>
      <c r="B26" s="220"/>
      <c r="C26" s="220"/>
      <c r="D26" s="48"/>
      <c r="E26" s="222"/>
      <c r="F26" s="222"/>
      <c r="G26" s="222"/>
      <c r="H26" s="222"/>
      <c r="I26" s="222"/>
      <c r="J26" s="222"/>
      <c r="K26" s="42"/>
      <c r="L26" s="42"/>
    </row>
    <row r="27" spans="1:12" ht="15" customHeight="1" x14ac:dyDescent="0.25">
      <c r="A27" s="41"/>
      <c r="B27" s="220"/>
      <c r="C27" s="220"/>
      <c r="D27" s="48"/>
      <c r="E27" s="222"/>
      <c r="F27" s="222"/>
      <c r="G27" s="222"/>
      <c r="H27" s="222"/>
      <c r="I27" s="222"/>
      <c r="J27" s="222"/>
      <c r="K27" s="42"/>
      <c r="L27" s="42"/>
    </row>
    <row r="28" spans="1:12" x14ac:dyDescent="0.25">
      <c r="A28" s="41"/>
      <c r="B28" s="41"/>
      <c r="C28" s="41"/>
      <c r="D28" s="41"/>
      <c r="E28" s="41"/>
      <c r="F28" s="41"/>
      <c r="G28" s="41"/>
      <c r="H28" s="41"/>
      <c r="I28" s="41"/>
      <c r="J28" s="41"/>
      <c r="K28" s="42"/>
      <c r="L28" s="42"/>
    </row>
    <row r="29" spans="1:12" x14ac:dyDescent="0.25">
      <c r="A29" s="41"/>
      <c r="B29" s="44"/>
      <c r="C29" s="44"/>
      <c r="D29" s="44"/>
      <c r="E29" s="44"/>
      <c r="F29" s="44"/>
      <c r="G29" s="44"/>
      <c r="H29" s="44"/>
      <c r="I29" s="44"/>
      <c r="J29" s="44"/>
      <c r="K29" s="42"/>
      <c r="L29" s="42"/>
    </row>
    <row r="30" spans="1:12" ht="15" customHeight="1" x14ac:dyDescent="0.25">
      <c r="A30" s="41"/>
      <c r="B30" s="221" t="e">
        <f>VLOOKUP('Range Check'!L4,'Lookup Table (Text to be added)'!A1:AA5,26,FALSE)</f>
        <v>#N/A</v>
      </c>
      <c r="C30" s="221"/>
      <c r="D30" s="45"/>
      <c r="E30" s="46" t="s">
        <v>149</v>
      </c>
      <c r="F30" s="47"/>
      <c r="G30" s="47"/>
      <c r="H30" s="47"/>
      <c r="I30" s="47"/>
      <c r="J30" s="41"/>
      <c r="K30" s="42"/>
      <c r="L30" s="42"/>
    </row>
    <row r="31" spans="1:12" ht="15" customHeight="1" x14ac:dyDescent="0.25">
      <c r="A31" s="41"/>
      <c r="B31" s="221"/>
      <c r="C31" s="221"/>
      <c r="D31" s="45"/>
      <c r="E31" s="222" t="e">
        <f>VLOOKUP(VLOOKUP('Range Check'!L4,'Lookup Table (Text to be added)'!A1:AA5,25,FALSE),'Lookup Table (Text to be added)'!A25:C29,3,FALSE)</f>
        <v>#N/A</v>
      </c>
      <c r="F31" s="222"/>
      <c r="G31" s="222"/>
      <c r="H31" s="222"/>
      <c r="I31" s="222"/>
      <c r="J31" s="41"/>
      <c r="K31" s="42"/>
      <c r="L31" s="42"/>
    </row>
    <row r="32" spans="1:12" ht="15" customHeight="1" x14ac:dyDescent="0.25">
      <c r="A32" s="41"/>
      <c r="B32" s="221"/>
      <c r="C32" s="221"/>
      <c r="D32" s="45"/>
      <c r="E32" s="222"/>
      <c r="F32" s="222"/>
      <c r="G32" s="222"/>
      <c r="H32" s="222"/>
      <c r="I32" s="222"/>
      <c r="J32" s="41"/>
      <c r="K32" s="42"/>
      <c r="L32" s="42"/>
    </row>
    <row r="33" spans="1:12" ht="15" customHeight="1" x14ac:dyDescent="0.25">
      <c r="A33" s="41"/>
      <c r="B33" s="221"/>
      <c r="C33" s="221"/>
      <c r="D33" s="45"/>
      <c r="E33" s="222"/>
      <c r="F33" s="222"/>
      <c r="G33" s="222"/>
      <c r="H33" s="222"/>
      <c r="I33" s="222"/>
      <c r="J33" s="41"/>
      <c r="K33" s="42"/>
      <c r="L33" s="42"/>
    </row>
    <row r="34" spans="1:12" x14ac:dyDescent="0.25">
      <c r="A34" s="41"/>
      <c r="B34" s="43"/>
      <c r="C34" s="43"/>
      <c r="D34" s="43"/>
      <c r="E34" s="43"/>
      <c r="F34" s="43"/>
      <c r="G34" s="43"/>
      <c r="H34" s="43"/>
      <c r="I34" s="43"/>
      <c r="J34" s="43"/>
      <c r="K34" s="42"/>
      <c r="L34" s="42"/>
    </row>
    <row r="35" spans="1:12" x14ac:dyDescent="0.25">
      <c r="A35" s="41"/>
      <c r="B35" s="41"/>
      <c r="C35" s="41"/>
      <c r="D35" s="41"/>
      <c r="E35" s="41"/>
      <c r="F35" s="41"/>
      <c r="G35" s="41"/>
      <c r="H35" s="41"/>
      <c r="I35" s="41"/>
      <c r="J35" s="41"/>
      <c r="K35" s="42"/>
      <c r="L35" s="42"/>
    </row>
    <row r="36" spans="1:12" ht="12" customHeight="1" x14ac:dyDescent="0.25">
      <c r="A36" s="41"/>
      <c r="B36" s="2"/>
      <c r="C36" s="2"/>
      <c r="D36" s="2"/>
      <c r="E36" s="2"/>
      <c r="F36" s="2"/>
      <c r="G36" s="2"/>
      <c r="H36" s="2"/>
      <c r="I36" s="3"/>
      <c r="J36" s="2"/>
      <c r="K36" s="42"/>
      <c r="L36" s="42"/>
    </row>
    <row r="37" spans="1:12" ht="15" customHeight="1" x14ac:dyDescent="0.25">
      <c r="A37" s="41"/>
      <c r="B37" s="2"/>
      <c r="C37" s="2"/>
      <c r="D37" s="2"/>
      <c r="E37" s="2"/>
      <c r="F37" s="2"/>
      <c r="G37" s="2"/>
      <c r="H37" s="2"/>
      <c r="I37" s="3"/>
      <c r="J37" s="2"/>
      <c r="K37" s="42"/>
      <c r="L37" s="42"/>
    </row>
    <row r="38" spans="1:12" ht="15" customHeight="1" x14ac:dyDescent="0.25">
      <c r="A38" s="41"/>
      <c r="B38" s="2"/>
      <c r="C38" s="223" t="s">
        <v>307</v>
      </c>
      <c r="D38" s="223"/>
      <c r="E38" s="223"/>
      <c r="F38" s="223"/>
      <c r="G38" s="223"/>
      <c r="H38" s="223"/>
      <c r="I38" s="223"/>
      <c r="J38" s="2"/>
      <c r="K38" s="42"/>
      <c r="L38" s="42"/>
    </row>
    <row r="39" spans="1:12" ht="15" customHeight="1" x14ac:dyDescent="0.25">
      <c r="A39" s="41"/>
      <c r="B39" s="2"/>
      <c r="C39" s="223"/>
      <c r="D39" s="223"/>
      <c r="E39" s="223"/>
      <c r="F39" s="223"/>
      <c r="G39" s="223"/>
      <c r="H39" s="223"/>
      <c r="I39" s="223"/>
      <c r="J39" s="2"/>
      <c r="K39" s="42"/>
      <c r="L39" s="42"/>
    </row>
    <row r="40" spans="1:12" ht="15" customHeight="1" x14ac:dyDescent="0.25">
      <c r="A40" s="41"/>
      <c r="B40" s="2"/>
      <c r="C40" s="223"/>
      <c r="D40" s="223"/>
      <c r="E40" s="223"/>
      <c r="F40" s="223"/>
      <c r="G40" s="223"/>
      <c r="H40" s="223"/>
      <c r="I40" s="223"/>
      <c r="J40" s="2"/>
      <c r="K40" s="42"/>
      <c r="L40" s="42"/>
    </row>
    <row r="41" spans="1:12" ht="15" customHeight="1" x14ac:dyDescent="0.25">
      <c r="A41" s="41"/>
      <c r="B41" s="2"/>
      <c r="C41" s="2"/>
      <c r="D41" s="2"/>
      <c r="E41" s="2"/>
      <c r="F41" s="2"/>
      <c r="G41" s="2"/>
      <c r="H41" s="2"/>
      <c r="I41" s="3"/>
      <c r="J41" s="2"/>
      <c r="K41" s="42"/>
      <c r="L41" s="42"/>
    </row>
    <row r="42" spans="1:12" ht="15" customHeight="1" x14ac:dyDescent="0.25">
      <c r="A42" s="41"/>
      <c r="B42" s="2"/>
      <c r="C42" s="224" t="s">
        <v>308</v>
      </c>
      <c r="D42" s="224"/>
      <c r="E42" s="224"/>
      <c r="F42" s="224"/>
      <c r="G42" s="224"/>
      <c r="H42" s="224"/>
      <c r="I42" s="224"/>
      <c r="J42" s="49"/>
      <c r="K42" s="42"/>
      <c r="L42" s="42"/>
    </row>
    <row r="43" spans="1:12" ht="15" customHeight="1" x14ac:dyDescent="0.25">
      <c r="A43" s="41"/>
      <c r="B43" s="2"/>
      <c r="C43" s="224"/>
      <c r="D43" s="224"/>
      <c r="E43" s="224"/>
      <c r="F43" s="224"/>
      <c r="G43" s="224"/>
      <c r="H43" s="224"/>
      <c r="I43" s="224"/>
      <c r="J43" s="49"/>
      <c r="K43" s="42"/>
      <c r="L43" s="42"/>
    </row>
    <row r="44" spans="1:12" x14ac:dyDescent="0.25">
      <c r="A44" s="41"/>
      <c r="B44" s="2"/>
      <c r="C44" s="2"/>
      <c r="D44" s="2"/>
      <c r="E44" s="2"/>
      <c r="F44" s="2"/>
      <c r="G44" s="2"/>
      <c r="H44" s="2"/>
      <c r="I44" s="3"/>
      <c r="J44" s="2"/>
      <c r="K44" s="42"/>
      <c r="L44" s="42"/>
    </row>
    <row r="45" spans="1:12" x14ac:dyDescent="0.25">
      <c r="A45" s="41"/>
      <c r="B45" s="2"/>
      <c r="C45" s="67" t="s">
        <v>118</v>
      </c>
      <c r="D45" s="67"/>
      <c r="E45" s="216" t="e">
        <f>'Range Check'!D29</f>
        <v>#N/A</v>
      </c>
      <c r="F45" s="216"/>
      <c r="G45" s="216"/>
      <c r="H45" s="216"/>
      <c r="I45" s="217"/>
      <c r="J45" s="2"/>
      <c r="K45" s="42"/>
      <c r="L45" s="42"/>
    </row>
    <row r="46" spans="1:12" x14ac:dyDescent="0.25">
      <c r="A46" s="41"/>
      <c r="B46" s="2"/>
      <c r="C46" s="2"/>
      <c r="D46" s="50"/>
      <c r="E46" s="2"/>
      <c r="F46" s="2"/>
      <c r="G46" s="2"/>
      <c r="H46" s="2"/>
      <c r="I46" s="3"/>
      <c r="J46" s="2"/>
      <c r="K46" s="42"/>
      <c r="L46" s="42"/>
    </row>
    <row r="47" spans="1:12" x14ac:dyDescent="0.25">
      <c r="A47" s="41"/>
      <c r="B47" s="2"/>
      <c r="C47" s="66" t="s">
        <v>119</v>
      </c>
      <c r="D47" s="66"/>
      <c r="E47" s="218" t="e">
        <f>'Range Check'!D34</f>
        <v>#N/A</v>
      </c>
      <c r="F47" s="218"/>
      <c r="G47" s="218"/>
      <c r="H47" s="218"/>
      <c r="I47" s="219"/>
      <c r="J47" s="2"/>
      <c r="K47" s="42"/>
      <c r="L47" s="42"/>
    </row>
    <row r="48" spans="1:12" x14ac:dyDescent="0.25">
      <c r="A48" s="41"/>
      <c r="B48" s="2"/>
      <c r="C48" s="2"/>
      <c r="D48" s="2"/>
      <c r="E48" s="2"/>
      <c r="F48" s="2"/>
      <c r="G48" s="2"/>
      <c r="H48" s="2"/>
      <c r="I48" s="3"/>
      <c r="J48" s="2"/>
      <c r="K48" s="42"/>
      <c r="L48" s="42"/>
    </row>
    <row r="49" spans="1:12" x14ac:dyDescent="0.25">
      <c r="A49" s="41"/>
      <c r="B49" s="2"/>
      <c r="C49" s="2"/>
      <c r="D49" s="2"/>
      <c r="E49" s="2"/>
      <c r="F49" s="2"/>
      <c r="G49" s="2"/>
      <c r="H49" s="2"/>
      <c r="I49" s="3"/>
      <c r="J49" s="2"/>
      <c r="K49" s="42"/>
      <c r="L49" s="42"/>
    </row>
    <row r="50" spans="1:12" x14ac:dyDescent="0.25">
      <c r="A50" s="41"/>
      <c r="B50" s="41"/>
      <c r="C50" s="41"/>
      <c r="D50" s="41"/>
      <c r="E50" s="41"/>
      <c r="F50" s="41"/>
      <c r="G50" s="41"/>
      <c r="H50" s="41"/>
      <c r="I50" s="41"/>
      <c r="J50" s="41"/>
      <c r="K50" s="42"/>
      <c r="L50" s="42"/>
    </row>
    <row r="51" spans="1:12" ht="402.75" customHeight="1" x14ac:dyDescent="0.25">
      <c r="A51" s="41"/>
      <c r="B51" s="41"/>
      <c r="C51" s="41"/>
      <c r="D51" s="41"/>
      <c r="E51" s="41"/>
      <c r="F51" s="41"/>
      <c r="G51" s="41"/>
      <c r="H51" s="41"/>
      <c r="I51" s="41"/>
      <c r="J51" s="41"/>
      <c r="K51" s="42"/>
    </row>
    <row r="52" spans="1:12" ht="402.75" customHeight="1" x14ac:dyDescent="0.25"/>
    <row r="53" spans="1:12" ht="402.75" customHeight="1" x14ac:dyDescent="0.25"/>
  </sheetData>
  <sheetProtection algorithmName="SHA-512" hashValue="HG1tTOu67LNIMrsnd1sSXUQ+XIEHg4vb+lA6rqmAae3+J+iJ4ELyHIpUvEgVeNlJN+HLG98zyOw8/IqOH2BSjQ==" saltValue="CLrzqSegeozli/N//LSOoA==" spinCount="100000" sheet="1" objects="1" scenarios="1" selectLockedCells="1" selectUnlockedCells="1"/>
  <mergeCells count="14">
    <mergeCell ref="B2:F3"/>
    <mergeCell ref="B5:F9"/>
    <mergeCell ref="B12:C15"/>
    <mergeCell ref="B18:C21"/>
    <mergeCell ref="E19:J21"/>
    <mergeCell ref="E13:J15"/>
    <mergeCell ref="E45:I45"/>
    <mergeCell ref="E47:I47"/>
    <mergeCell ref="B24:C27"/>
    <mergeCell ref="B30:C33"/>
    <mergeCell ref="E31:I33"/>
    <mergeCell ref="E25:J27"/>
    <mergeCell ref="C38:I40"/>
    <mergeCell ref="C42:I43"/>
  </mergeCells>
  <conditionalFormatting sqref="B12">
    <cfRule type="cellIs" dxfId="21" priority="15" operator="greaterThan">
      <formula>0.8</formula>
    </cfRule>
    <cfRule type="cellIs" dxfId="20" priority="16" operator="between">
      <formula>0.499999999999999</formula>
      <formula>0.799999999999999</formula>
    </cfRule>
    <cfRule type="cellIs" dxfId="19" priority="17" operator="lessThan">
      <formula>0.5</formula>
    </cfRule>
  </conditionalFormatting>
  <conditionalFormatting sqref="B18">
    <cfRule type="cellIs" dxfId="18" priority="10" operator="equal">
      <formula>"⬌"</formula>
    </cfRule>
    <cfRule type="cellIs" dxfId="17" priority="11" operator="equal">
      <formula>"⬆"</formula>
    </cfRule>
    <cfRule type="cellIs" dxfId="16" priority="12" operator="equal">
      <formula>"👌"</formula>
    </cfRule>
    <cfRule type="cellIs" dxfId="15" priority="13" operator="equal">
      <formula>"⬊"</formula>
    </cfRule>
    <cfRule type="cellIs" dxfId="14" priority="14" operator="equal">
      <formula>"⬇"</formula>
    </cfRule>
  </conditionalFormatting>
  <conditionalFormatting sqref="B24">
    <cfRule type="cellIs" dxfId="13" priority="5" operator="equal">
      <formula>"££+"</formula>
    </cfRule>
    <cfRule type="cellIs" dxfId="12" priority="6" operator="equal">
      <formula>"£££"</formula>
    </cfRule>
    <cfRule type="cellIs" dxfId="11" priority="7" operator="equal">
      <formula>"£❤️"</formula>
    </cfRule>
    <cfRule type="cellIs" dxfId="10" priority="8" operator="equal">
      <formula>"££-"</formula>
    </cfRule>
    <cfRule type="cellIs" dxfId="9" priority="9" operator="equal">
      <formula>"£"</formula>
    </cfRule>
  </conditionalFormatting>
  <conditionalFormatting sqref="B24 D24:D27">
    <cfRule type="cellIs" dxfId="8" priority="4" operator="equal">
      <formula>"£👍"</formula>
    </cfRule>
  </conditionalFormatting>
  <conditionalFormatting sqref="B30">
    <cfRule type="cellIs" dxfId="7" priority="1" operator="greaterThan">
      <formula>0.85</formula>
    </cfRule>
    <cfRule type="cellIs" dxfId="6" priority="2" operator="between">
      <formula>0.499999999999999</formula>
      <formula>0.85</formula>
    </cfRule>
    <cfRule type="cellIs" dxfId="5" priority="3" operator="lessThan">
      <formula>0.5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Ruler="0" zoomScale="90" zoomScaleNormal="90" workbookViewId="0">
      <selection activeCell="L50" sqref="L50"/>
    </sheetView>
  </sheetViews>
  <sheetFormatPr defaultColWidth="9.140625" defaultRowHeight="15" x14ac:dyDescent="0.25"/>
  <cols>
    <col min="1" max="1" width="3.85546875" style="51" customWidth="1"/>
    <col min="2" max="2" width="17.140625" style="51" customWidth="1"/>
    <col min="3" max="3" width="3.7109375" style="51" customWidth="1"/>
    <col min="4" max="7" width="9.140625" style="51"/>
    <col min="8" max="8" width="12" style="51" customWidth="1"/>
    <col min="9" max="9" width="17.140625" style="51" customWidth="1"/>
    <col min="10" max="10" width="3.140625" style="51" customWidth="1"/>
    <col min="11" max="11" width="28.42578125" style="1" customWidth="1"/>
    <col min="12" max="14" width="138.85546875" style="1" customWidth="1"/>
    <col min="15" max="16384" width="9.140625" style="1"/>
  </cols>
  <sheetData>
    <row r="1" spans="1:12" x14ac:dyDescent="0.25">
      <c r="A1" s="41"/>
      <c r="B1" s="41"/>
      <c r="C1" s="41"/>
      <c r="D1" s="41"/>
      <c r="E1" s="41"/>
      <c r="F1" s="41"/>
      <c r="G1" s="41"/>
      <c r="H1" s="41"/>
      <c r="I1" s="41"/>
      <c r="J1" s="41"/>
      <c r="K1" s="42"/>
      <c r="L1" s="42"/>
    </row>
    <row r="2" spans="1:12" ht="15" customHeight="1" x14ac:dyDescent="0.25">
      <c r="A2" s="41"/>
      <c r="B2" s="228" t="s">
        <v>466</v>
      </c>
      <c r="C2" s="228"/>
      <c r="D2" s="228"/>
      <c r="E2" s="228"/>
      <c r="F2" s="228"/>
      <c r="G2" s="41"/>
      <c r="H2" s="41"/>
      <c r="I2" s="41"/>
      <c r="J2" s="41"/>
      <c r="K2" s="42"/>
      <c r="L2" s="42"/>
    </row>
    <row r="3" spans="1:12" ht="15" customHeight="1" x14ac:dyDescent="0.25">
      <c r="A3" s="41"/>
      <c r="B3" s="228"/>
      <c r="C3" s="228"/>
      <c r="D3" s="228"/>
      <c r="E3" s="228"/>
      <c r="F3" s="228"/>
      <c r="G3" s="41"/>
      <c r="H3" s="41"/>
      <c r="I3" s="41"/>
      <c r="J3" s="41"/>
      <c r="K3" s="42"/>
      <c r="L3" s="42"/>
    </row>
    <row r="4" spans="1:12" x14ac:dyDescent="0.25">
      <c r="A4" s="41"/>
      <c r="B4" s="228"/>
      <c r="C4" s="228"/>
      <c r="D4" s="228"/>
      <c r="E4" s="228"/>
      <c r="F4" s="228"/>
      <c r="G4" s="41"/>
      <c r="H4" s="41"/>
      <c r="I4" s="41"/>
      <c r="J4" s="41"/>
      <c r="K4" s="42"/>
      <c r="L4" s="42"/>
    </row>
    <row r="5" spans="1:12" x14ac:dyDescent="0.25">
      <c r="A5" s="41"/>
      <c r="B5" s="62"/>
      <c r="C5" s="62"/>
      <c r="D5" s="62"/>
      <c r="E5" s="62"/>
      <c r="F5" s="62"/>
      <c r="G5" s="41"/>
      <c r="H5" s="41"/>
      <c r="I5" s="41"/>
      <c r="J5" s="41"/>
      <c r="K5" s="42"/>
      <c r="L5" s="42"/>
    </row>
    <row r="6" spans="1:12" ht="24" customHeight="1" x14ac:dyDescent="0.25">
      <c r="A6" s="41"/>
      <c r="B6" s="62"/>
      <c r="C6" s="62"/>
      <c r="D6" s="62"/>
      <c r="E6" s="62"/>
      <c r="F6" s="62"/>
      <c r="G6" s="41"/>
      <c r="H6" s="41"/>
      <c r="I6" s="41"/>
      <c r="J6" s="41"/>
      <c r="K6" s="42"/>
      <c r="L6" s="42"/>
    </row>
    <row r="7" spans="1:12" ht="15" customHeight="1" x14ac:dyDescent="0.25">
      <c r="A7" s="41"/>
      <c r="B7" s="142"/>
      <c r="C7" s="62"/>
      <c r="D7" s="153" t="s">
        <v>195</v>
      </c>
      <c r="E7" s="157"/>
      <c r="F7" s="62"/>
      <c r="G7" s="41"/>
      <c r="H7" s="1"/>
      <c r="I7" s="151"/>
      <c r="J7" s="41"/>
      <c r="K7" s="153" t="s">
        <v>234</v>
      </c>
      <c r="L7" s="42"/>
    </row>
    <row r="8" spans="1:12" ht="15" customHeight="1" x14ac:dyDescent="0.25">
      <c r="A8" s="41"/>
      <c r="B8" s="142"/>
      <c r="C8" s="62"/>
      <c r="D8" s="158" t="s">
        <v>325</v>
      </c>
      <c r="E8" s="157"/>
      <c r="F8" s="62"/>
      <c r="G8" s="41"/>
      <c r="H8" s="1"/>
      <c r="I8" s="151"/>
      <c r="J8" s="41"/>
      <c r="K8" s="153" t="s">
        <v>267</v>
      </c>
      <c r="L8" s="42"/>
    </row>
    <row r="9" spans="1:12" ht="15" customHeight="1" x14ac:dyDescent="0.25">
      <c r="A9" s="41"/>
      <c r="B9" s="142"/>
      <c r="C9" s="62"/>
      <c r="D9" s="153" t="s">
        <v>172</v>
      </c>
      <c r="E9" s="157"/>
      <c r="F9" s="62"/>
      <c r="G9" s="41"/>
      <c r="H9" s="1"/>
      <c r="I9" s="151"/>
      <c r="J9" s="41"/>
      <c r="K9" s="153" t="s">
        <v>270</v>
      </c>
      <c r="L9" s="42"/>
    </row>
    <row r="10" spans="1:12" ht="15" customHeight="1" x14ac:dyDescent="0.25">
      <c r="A10" s="41"/>
      <c r="B10" s="143"/>
      <c r="C10" s="41"/>
      <c r="D10" s="156" t="s">
        <v>214</v>
      </c>
      <c r="E10" s="159"/>
      <c r="F10" s="41"/>
      <c r="G10" s="41"/>
      <c r="H10" s="1"/>
      <c r="I10" s="151"/>
      <c r="J10" s="41"/>
      <c r="K10" s="153" t="s">
        <v>229</v>
      </c>
      <c r="L10" s="42"/>
    </row>
    <row r="11" spans="1:12" ht="15" customHeight="1" x14ac:dyDescent="0.25">
      <c r="A11" s="41"/>
      <c r="B11" s="143"/>
      <c r="C11" s="41"/>
      <c r="D11" s="153" t="s">
        <v>216</v>
      </c>
      <c r="E11" s="159"/>
      <c r="F11" s="41"/>
      <c r="G11" s="41"/>
      <c r="H11" s="1"/>
      <c r="I11" s="151"/>
      <c r="J11" s="41"/>
      <c r="K11" s="153" t="s">
        <v>284</v>
      </c>
      <c r="L11" s="42"/>
    </row>
    <row r="12" spans="1:12" ht="15" customHeight="1" x14ac:dyDescent="0.25">
      <c r="A12" s="41"/>
      <c r="B12" s="144"/>
      <c r="C12" s="134"/>
      <c r="D12" s="155" t="s">
        <v>461</v>
      </c>
      <c r="E12" s="160"/>
      <c r="F12" s="129"/>
      <c r="G12" s="129"/>
      <c r="H12" s="1"/>
      <c r="I12" s="151"/>
      <c r="J12" s="41"/>
      <c r="K12" s="153" t="s">
        <v>467</v>
      </c>
      <c r="L12" s="42"/>
    </row>
    <row r="13" spans="1:12" ht="15" customHeight="1" x14ac:dyDescent="0.25">
      <c r="A13" s="41"/>
      <c r="B13" s="144"/>
      <c r="C13" s="134"/>
      <c r="D13" s="155" t="s">
        <v>462</v>
      </c>
      <c r="E13" s="161"/>
      <c r="F13" s="133"/>
      <c r="G13" s="133"/>
      <c r="H13" s="1"/>
      <c r="I13" s="151"/>
      <c r="J13" s="133"/>
      <c r="K13" s="153" t="s">
        <v>240</v>
      </c>
      <c r="L13" s="42"/>
    </row>
    <row r="14" spans="1:12" ht="15" customHeight="1" x14ac:dyDescent="0.25">
      <c r="A14" s="41"/>
      <c r="B14" s="144"/>
      <c r="C14" s="134"/>
      <c r="D14" s="153" t="s">
        <v>255</v>
      </c>
      <c r="E14" s="161"/>
      <c r="F14" s="133"/>
      <c r="G14" s="133"/>
      <c r="H14" s="1"/>
      <c r="I14" s="151"/>
      <c r="J14" s="133"/>
      <c r="K14" s="153" t="s">
        <v>223</v>
      </c>
      <c r="L14" s="42"/>
    </row>
    <row r="15" spans="1:12" ht="15" customHeight="1" x14ac:dyDescent="0.25">
      <c r="A15" s="41"/>
      <c r="B15" s="144"/>
      <c r="C15" s="134"/>
      <c r="D15" s="153" t="s">
        <v>252</v>
      </c>
      <c r="E15" s="161"/>
      <c r="F15" s="133"/>
      <c r="G15" s="133"/>
      <c r="H15" s="1"/>
      <c r="I15" s="151"/>
      <c r="J15" s="133"/>
      <c r="K15" s="153" t="s">
        <v>168</v>
      </c>
      <c r="L15" s="42"/>
    </row>
    <row r="16" spans="1:12" ht="15" customHeight="1" x14ac:dyDescent="0.25">
      <c r="A16" s="41"/>
      <c r="B16" s="143"/>
      <c r="C16" s="41"/>
      <c r="D16" s="155" t="s">
        <v>322</v>
      </c>
      <c r="E16" s="159"/>
      <c r="F16" s="41"/>
      <c r="G16" s="41"/>
      <c r="H16" s="1"/>
      <c r="I16" s="151"/>
      <c r="J16" s="41"/>
      <c r="K16" s="153" t="s">
        <v>279</v>
      </c>
      <c r="L16" s="42"/>
    </row>
    <row r="17" spans="1:12" ht="15" customHeight="1" x14ac:dyDescent="0.25">
      <c r="A17" s="41"/>
      <c r="B17" s="143"/>
      <c r="C17" s="41"/>
      <c r="D17" s="156" t="s">
        <v>222</v>
      </c>
      <c r="E17" s="159"/>
      <c r="F17" s="41"/>
      <c r="G17" s="41"/>
      <c r="H17" s="1"/>
      <c r="I17" s="151"/>
      <c r="J17" s="41"/>
      <c r="K17" s="153" t="s">
        <v>468</v>
      </c>
      <c r="L17" s="42"/>
    </row>
    <row r="18" spans="1:12" ht="15" customHeight="1" x14ac:dyDescent="0.25">
      <c r="A18" s="41"/>
      <c r="B18" s="145"/>
      <c r="C18" s="135"/>
      <c r="D18" s="156" t="s">
        <v>273</v>
      </c>
      <c r="E18" s="160"/>
      <c r="F18" s="129"/>
      <c r="G18" s="129"/>
      <c r="H18" s="1"/>
      <c r="I18" s="151"/>
      <c r="J18" s="41"/>
      <c r="K18" s="153" t="s">
        <v>232</v>
      </c>
      <c r="L18" s="42"/>
    </row>
    <row r="19" spans="1:12" ht="15" customHeight="1" x14ac:dyDescent="0.25">
      <c r="A19" s="41"/>
      <c r="B19" s="145"/>
      <c r="C19" s="135"/>
      <c r="D19" s="156" t="s">
        <v>213</v>
      </c>
      <c r="E19" s="161"/>
      <c r="F19" s="133"/>
      <c r="G19" s="133"/>
      <c r="H19" s="1"/>
      <c r="I19" s="151"/>
      <c r="J19" s="133"/>
      <c r="K19" s="153" t="s">
        <v>248</v>
      </c>
      <c r="L19" s="42"/>
    </row>
    <row r="20" spans="1:12" ht="15" customHeight="1" x14ac:dyDescent="0.25">
      <c r="A20" s="41"/>
      <c r="B20" s="145"/>
      <c r="C20" s="135"/>
      <c r="D20" s="153" t="s">
        <v>199</v>
      </c>
      <c r="E20" s="161"/>
      <c r="F20" s="133"/>
      <c r="G20" s="133"/>
      <c r="H20" s="1"/>
      <c r="I20" s="151"/>
      <c r="J20" s="133"/>
      <c r="K20" s="153" t="s">
        <v>174</v>
      </c>
      <c r="L20" s="42"/>
    </row>
    <row r="21" spans="1:12" ht="15" customHeight="1" x14ac:dyDescent="0.25">
      <c r="A21" s="41"/>
      <c r="B21" s="145"/>
      <c r="C21" s="135"/>
      <c r="D21" s="153" t="s">
        <v>233</v>
      </c>
      <c r="E21" s="161"/>
      <c r="F21" s="133"/>
      <c r="G21" s="133"/>
      <c r="H21" s="41"/>
      <c r="I21" s="1"/>
      <c r="J21" s="133"/>
      <c r="K21" s="154"/>
      <c r="L21" s="42"/>
    </row>
    <row r="22" spans="1:12" ht="15" customHeight="1" x14ac:dyDescent="0.25">
      <c r="A22" s="41"/>
      <c r="B22" s="143"/>
      <c r="C22" s="41"/>
      <c r="D22" s="153" t="s">
        <v>264</v>
      </c>
      <c r="E22" s="159"/>
      <c r="F22" s="41"/>
      <c r="G22" s="41"/>
      <c r="H22" s="41"/>
      <c r="I22" s="152"/>
      <c r="J22" s="41"/>
      <c r="K22" s="153" t="s">
        <v>215</v>
      </c>
      <c r="L22" s="42"/>
    </row>
    <row r="23" spans="1:12" ht="15" customHeight="1" x14ac:dyDescent="0.25">
      <c r="A23" s="41"/>
      <c r="B23" s="143"/>
      <c r="C23" s="41"/>
      <c r="D23" s="155" t="s">
        <v>469</v>
      </c>
      <c r="E23" s="159"/>
      <c r="F23" s="41"/>
      <c r="G23" s="41"/>
      <c r="H23" s="41"/>
      <c r="I23" s="152"/>
      <c r="J23" s="41"/>
      <c r="K23" s="153" t="s">
        <v>201</v>
      </c>
      <c r="L23" s="42"/>
    </row>
    <row r="24" spans="1:12" ht="15" customHeight="1" x14ac:dyDescent="0.25">
      <c r="A24" s="41"/>
      <c r="B24" s="146"/>
      <c r="C24" s="136"/>
      <c r="D24" s="158" t="s">
        <v>220</v>
      </c>
      <c r="E24" s="160"/>
      <c r="F24" s="129"/>
      <c r="G24" s="129"/>
      <c r="H24" s="129"/>
      <c r="I24" s="152"/>
      <c r="J24" s="41"/>
      <c r="K24" s="153" t="s">
        <v>212</v>
      </c>
      <c r="L24" s="42"/>
    </row>
    <row r="25" spans="1:12" ht="15" customHeight="1" x14ac:dyDescent="0.25">
      <c r="A25" s="41"/>
      <c r="B25" s="146"/>
      <c r="C25" s="136"/>
      <c r="D25" s="155" t="s">
        <v>171</v>
      </c>
      <c r="E25" s="162"/>
      <c r="F25" s="137"/>
      <c r="G25" s="137"/>
      <c r="H25" s="137"/>
      <c r="I25" s="152"/>
      <c r="J25" s="137"/>
      <c r="K25" s="153" t="s">
        <v>237</v>
      </c>
      <c r="L25" s="42"/>
    </row>
    <row r="26" spans="1:12" ht="15" customHeight="1" x14ac:dyDescent="0.25">
      <c r="A26" s="41"/>
      <c r="B26" s="146"/>
      <c r="C26" s="136"/>
      <c r="D26" s="155" t="s">
        <v>244</v>
      </c>
      <c r="E26" s="162"/>
      <c r="F26" s="137"/>
      <c r="G26" s="137"/>
      <c r="H26" s="137"/>
      <c r="I26" s="152"/>
      <c r="J26" s="137"/>
      <c r="K26" s="153" t="s">
        <v>254</v>
      </c>
      <c r="L26" s="42"/>
    </row>
    <row r="27" spans="1:12" ht="15" customHeight="1" x14ac:dyDescent="0.25">
      <c r="A27" s="41"/>
      <c r="B27" s="146"/>
      <c r="C27" s="136"/>
      <c r="D27" s="158" t="s">
        <v>245</v>
      </c>
      <c r="E27" s="162"/>
      <c r="F27" s="137"/>
      <c r="G27" s="137"/>
      <c r="H27" s="137"/>
      <c r="I27" s="152"/>
      <c r="J27" s="137"/>
      <c r="K27" s="153" t="s">
        <v>218</v>
      </c>
      <c r="L27" s="42"/>
    </row>
    <row r="28" spans="1:12" ht="15" customHeight="1" x14ac:dyDescent="0.25">
      <c r="A28" s="41"/>
      <c r="B28" s="143"/>
      <c r="C28" s="41"/>
      <c r="D28" s="153" t="s">
        <v>263</v>
      </c>
      <c r="E28" s="159"/>
      <c r="F28" s="41"/>
      <c r="G28" s="41"/>
      <c r="H28" s="41"/>
      <c r="I28" s="152"/>
      <c r="J28" s="41"/>
      <c r="K28" s="153" t="s">
        <v>205</v>
      </c>
      <c r="L28" s="42"/>
    </row>
    <row r="29" spans="1:12" ht="15" customHeight="1" x14ac:dyDescent="0.25">
      <c r="A29" s="41"/>
      <c r="B29" s="143"/>
      <c r="C29" s="41"/>
      <c r="D29" s="155" t="s">
        <v>219</v>
      </c>
      <c r="E29" s="159"/>
      <c r="F29" s="41"/>
      <c r="G29" s="41"/>
      <c r="H29" s="41"/>
      <c r="I29" s="152"/>
      <c r="J29" s="41"/>
      <c r="K29" s="153" t="s">
        <v>198</v>
      </c>
      <c r="L29" s="42"/>
    </row>
    <row r="30" spans="1:12" ht="15" customHeight="1" x14ac:dyDescent="0.25">
      <c r="A30" s="41"/>
      <c r="B30" s="144"/>
      <c r="C30" s="134"/>
      <c r="D30" s="155" t="s">
        <v>463</v>
      </c>
      <c r="E30" s="160"/>
      <c r="F30" s="129"/>
      <c r="G30" s="129"/>
      <c r="H30" s="129"/>
      <c r="I30" s="152"/>
      <c r="J30" s="41"/>
      <c r="K30" s="153" t="s">
        <v>257</v>
      </c>
      <c r="L30" s="42"/>
    </row>
    <row r="31" spans="1:12" ht="15" customHeight="1" x14ac:dyDescent="0.25">
      <c r="A31" s="41"/>
      <c r="B31" s="144"/>
      <c r="C31" s="134"/>
      <c r="D31" s="155" t="s">
        <v>464</v>
      </c>
      <c r="E31" s="162"/>
      <c r="F31" s="137"/>
      <c r="G31" s="137"/>
      <c r="H31" s="137"/>
      <c r="I31" s="152"/>
      <c r="J31" s="41"/>
      <c r="K31" s="153" t="s">
        <v>242</v>
      </c>
      <c r="L31" s="42"/>
    </row>
    <row r="32" spans="1:12" ht="15" customHeight="1" x14ac:dyDescent="0.25">
      <c r="A32" s="41"/>
      <c r="B32" s="144"/>
      <c r="C32" s="134"/>
      <c r="D32" s="155" t="s">
        <v>268</v>
      </c>
      <c r="E32" s="162"/>
      <c r="F32" s="137"/>
      <c r="G32" s="137"/>
      <c r="H32" s="137"/>
      <c r="I32" s="152"/>
      <c r="J32" s="41"/>
      <c r="K32" s="153" t="s">
        <v>266</v>
      </c>
      <c r="L32" s="42"/>
    </row>
    <row r="33" spans="1:12" ht="15" customHeight="1" x14ac:dyDescent="0.25">
      <c r="A33" s="41"/>
      <c r="B33" s="134"/>
      <c r="C33" s="134"/>
      <c r="D33" s="153"/>
      <c r="E33" s="162"/>
      <c r="F33" s="137"/>
      <c r="G33" s="137"/>
      <c r="H33" s="137"/>
      <c r="I33" s="152"/>
      <c r="J33" s="41"/>
      <c r="K33" s="153" t="s">
        <v>470</v>
      </c>
      <c r="L33" s="42"/>
    </row>
    <row r="34" spans="1:12" ht="15" customHeight="1" x14ac:dyDescent="0.25">
      <c r="A34" s="41"/>
      <c r="B34" s="147"/>
      <c r="C34" s="41"/>
      <c r="D34" s="153" t="s">
        <v>197</v>
      </c>
      <c r="E34" s="159"/>
      <c r="F34" s="41"/>
      <c r="G34" s="41"/>
      <c r="H34" s="41"/>
      <c r="I34" s="152"/>
      <c r="J34" s="41"/>
      <c r="K34" s="153" t="s">
        <v>250</v>
      </c>
      <c r="L34" s="42"/>
    </row>
    <row r="35" spans="1:12" ht="15" customHeight="1" x14ac:dyDescent="0.25">
      <c r="A35" s="41"/>
      <c r="B35" s="147"/>
      <c r="C35" s="41"/>
      <c r="D35" s="155" t="s">
        <v>321</v>
      </c>
      <c r="E35" s="159"/>
      <c r="F35" s="41"/>
      <c r="G35" s="41"/>
      <c r="H35" s="41"/>
      <c r="I35" s="152"/>
      <c r="J35" s="41"/>
      <c r="K35" s="153" t="s">
        <v>208</v>
      </c>
      <c r="L35" s="42"/>
    </row>
    <row r="36" spans="1:12" ht="15" customHeight="1" x14ac:dyDescent="0.25">
      <c r="A36" s="41"/>
      <c r="B36" s="148"/>
      <c r="C36" s="42"/>
      <c r="D36" s="153" t="s">
        <v>164</v>
      </c>
      <c r="E36" s="163"/>
      <c r="F36" s="42"/>
      <c r="G36" s="42"/>
      <c r="H36" s="42"/>
      <c r="I36" s="152"/>
      <c r="J36" s="42"/>
      <c r="K36" s="153" t="s">
        <v>276</v>
      </c>
      <c r="L36" s="42"/>
    </row>
    <row r="37" spans="1:12" ht="15" customHeight="1" x14ac:dyDescent="0.25">
      <c r="A37" s="41"/>
      <c r="B37" s="148"/>
      <c r="C37" s="42"/>
      <c r="D37" s="153" t="s">
        <v>165</v>
      </c>
      <c r="E37" s="163"/>
      <c r="F37" s="42"/>
      <c r="G37" s="42"/>
      <c r="H37" s="42"/>
      <c r="I37" s="152"/>
      <c r="J37" s="42"/>
      <c r="K37" s="153" t="s">
        <v>194</v>
      </c>
      <c r="L37" s="42"/>
    </row>
    <row r="38" spans="1:12" ht="15" customHeight="1" x14ac:dyDescent="0.25">
      <c r="A38" s="41"/>
      <c r="B38" s="148"/>
      <c r="C38" s="138"/>
      <c r="D38" s="153" t="s">
        <v>167</v>
      </c>
      <c r="E38" s="164"/>
      <c r="F38" s="138"/>
      <c r="G38" s="138"/>
      <c r="H38" s="138"/>
      <c r="I38" s="152"/>
      <c r="J38" s="42"/>
      <c r="K38" s="153" t="s">
        <v>251</v>
      </c>
      <c r="L38" s="42"/>
    </row>
    <row r="39" spans="1:12" ht="15" customHeight="1" x14ac:dyDescent="0.25">
      <c r="A39" s="41"/>
      <c r="B39" s="148"/>
      <c r="C39" s="138"/>
      <c r="D39" s="153" t="s">
        <v>269</v>
      </c>
      <c r="E39" s="164"/>
      <c r="F39" s="138"/>
      <c r="G39" s="138"/>
      <c r="H39" s="138"/>
      <c r="I39" s="152"/>
      <c r="J39" s="42"/>
      <c r="K39" s="155" t="s">
        <v>272</v>
      </c>
      <c r="L39" s="42"/>
    </row>
    <row r="40" spans="1:12" ht="15" customHeight="1" x14ac:dyDescent="0.25">
      <c r="A40" s="41"/>
      <c r="B40" s="148"/>
      <c r="C40" s="138"/>
      <c r="D40" s="153" t="s">
        <v>286</v>
      </c>
      <c r="E40" s="164"/>
      <c r="F40" s="138"/>
      <c r="G40" s="138"/>
      <c r="H40" s="138"/>
      <c r="I40" s="152"/>
      <c r="J40" s="42"/>
      <c r="K40" s="155" t="s">
        <v>320</v>
      </c>
      <c r="L40" s="42"/>
    </row>
    <row r="41" spans="1:12" ht="15" customHeight="1" x14ac:dyDescent="0.25">
      <c r="A41" s="41"/>
      <c r="B41" s="148"/>
      <c r="C41" s="42"/>
      <c r="D41" s="153" t="s">
        <v>253</v>
      </c>
      <c r="E41" s="163"/>
      <c r="F41" s="42"/>
      <c r="G41" s="42"/>
      <c r="H41" s="42"/>
      <c r="I41" s="152"/>
      <c r="J41" s="42"/>
      <c r="K41" s="155" t="s">
        <v>209</v>
      </c>
      <c r="L41" s="42"/>
    </row>
    <row r="42" spans="1:12" ht="15" customHeight="1" x14ac:dyDescent="0.25">
      <c r="A42" s="41"/>
      <c r="B42" s="148"/>
      <c r="C42" s="139"/>
      <c r="D42" s="153" t="s">
        <v>238</v>
      </c>
      <c r="E42" s="139"/>
      <c r="F42" s="139"/>
      <c r="G42" s="139"/>
      <c r="H42" s="139"/>
      <c r="I42" s="152"/>
      <c r="J42" s="130"/>
      <c r="K42" s="155" t="s">
        <v>227</v>
      </c>
      <c r="L42" s="42"/>
    </row>
    <row r="43" spans="1:12" ht="15" customHeight="1" x14ac:dyDescent="0.25">
      <c r="A43" s="41"/>
      <c r="B43" s="148"/>
      <c r="C43" s="139"/>
      <c r="D43" s="153" t="s">
        <v>259</v>
      </c>
      <c r="E43" s="139"/>
      <c r="F43" s="139"/>
      <c r="G43" s="139"/>
      <c r="H43" s="139"/>
      <c r="I43" s="152"/>
      <c r="J43" s="130"/>
      <c r="K43" s="155" t="s">
        <v>261</v>
      </c>
      <c r="L43" s="42"/>
    </row>
    <row r="44" spans="1:12" ht="15" customHeight="1" x14ac:dyDescent="0.25">
      <c r="A44" s="41"/>
      <c r="B44" s="148"/>
      <c r="C44" s="42"/>
      <c r="D44" s="156" t="s">
        <v>207</v>
      </c>
      <c r="E44" s="163"/>
      <c r="F44" s="42"/>
      <c r="G44" s="42"/>
      <c r="H44" s="42"/>
      <c r="I44" s="152"/>
      <c r="J44" s="42"/>
      <c r="K44" s="155" t="s">
        <v>206</v>
      </c>
      <c r="L44" s="42"/>
    </row>
    <row r="45" spans="1:12" ht="15" customHeight="1" x14ac:dyDescent="0.25">
      <c r="A45" s="41"/>
      <c r="B45" s="148"/>
      <c r="C45" s="131"/>
      <c r="D45" s="153" t="s">
        <v>236</v>
      </c>
      <c r="E45" s="165"/>
      <c r="F45" s="140"/>
      <c r="G45" s="140"/>
      <c r="H45" s="140"/>
      <c r="I45" s="152"/>
      <c r="J45" s="42"/>
      <c r="K45" s="155" t="s">
        <v>196</v>
      </c>
      <c r="L45" s="42"/>
    </row>
    <row r="46" spans="1:12" ht="15" customHeight="1" x14ac:dyDescent="0.25">
      <c r="A46" s="41"/>
      <c r="B46" s="148"/>
      <c r="C46" s="42"/>
      <c r="D46" s="153" t="s">
        <v>230</v>
      </c>
      <c r="E46" s="163"/>
      <c r="F46" s="42"/>
      <c r="G46" s="42"/>
      <c r="H46" s="42"/>
      <c r="I46" s="152"/>
      <c r="J46" s="42"/>
      <c r="K46" s="155" t="s">
        <v>217</v>
      </c>
      <c r="L46" s="42"/>
    </row>
    <row r="47" spans="1:12" ht="15" customHeight="1" x14ac:dyDescent="0.25">
      <c r="A47" s="41"/>
      <c r="B47" s="148"/>
      <c r="C47" s="132"/>
      <c r="D47" s="153" t="s">
        <v>225</v>
      </c>
      <c r="E47" s="166"/>
      <c r="F47" s="141"/>
      <c r="G47" s="141"/>
      <c r="H47" s="141"/>
      <c r="I47" s="152"/>
      <c r="J47" s="42"/>
      <c r="K47" s="155" t="s">
        <v>243</v>
      </c>
      <c r="L47" s="42"/>
    </row>
    <row r="48" spans="1:12" ht="15" customHeight="1" x14ac:dyDescent="0.25">
      <c r="A48" s="41"/>
      <c r="B48" s="148"/>
      <c r="C48" s="42"/>
      <c r="D48" s="153" t="s">
        <v>280</v>
      </c>
      <c r="E48" s="163"/>
      <c r="F48" s="42"/>
      <c r="G48" s="42"/>
      <c r="H48" s="42"/>
      <c r="I48" s="152"/>
      <c r="J48" s="42"/>
      <c r="K48" s="155" t="s">
        <v>235</v>
      </c>
      <c r="L48" s="42"/>
    </row>
    <row r="49" spans="1:12" ht="15" customHeight="1" x14ac:dyDescent="0.25">
      <c r="A49" s="41"/>
      <c r="B49" s="148"/>
      <c r="C49" s="42"/>
      <c r="D49" s="153" t="s">
        <v>247</v>
      </c>
      <c r="E49" s="163"/>
      <c r="F49" s="42"/>
      <c r="G49" s="42"/>
      <c r="H49" s="42"/>
      <c r="I49" s="152"/>
      <c r="J49" s="42"/>
      <c r="K49" s="155" t="s">
        <v>210</v>
      </c>
      <c r="L49" s="42"/>
    </row>
    <row r="50" spans="1:12" ht="15" customHeight="1" x14ac:dyDescent="0.25">
      <c r="A50" s="41"/>
      <c r="B50" s="147"/>
      <c r="C50" s="41"/>
      <c r="D50" s="155" t="s">
        <v>326</v>
      </c>
      <c r="E50" s="159"/>
      <c r="F50" s="41"/>
      <c r="G50" s="41"/>
      <c r="H50" s="41"/>
      <c r="I50" s="152"/>
      <c r="J50" s="41"/>
      <c r="K50" s="155" t="s">
        <v>202</v>
      </c>
      <c r="L50" s="42"/>
    </row>
    <row r="51" spans="1:12" ht="15" customHeight="1" x14ac:dyDescent="0.25">
      <c r="A51" s="41"/>
      <c r="B51" s="147"/>
      <c r="C51" s="41"/>
      <c r="D51" s="153" t="s">
        <v>221</v>
      </c>
      <c r="E51" s="159"/>
      <c r="F51" s="41"/>
      <c r="G51" s="41"/>
      <c r="H51" s="41"/>
      <c r="I51" s="152"/>
      <c r="J51" s="41"/>
      <c r="K51" s="155" t="s">
        <v>319</v>
      </c>
      <c r="L51" s="42"/>
    </row>
    <row r="52" spans="1:12" ht="15" customHeight="1" x14ac:dyDescent="0.25">
      <c r="B52" s="147"/>
      <c r="D52" s="153" t="s">
        <v>249</v>
      </c>
      <c r="E52" s="167"/>
      <c r="I52" s="152"/>
      <c r="K52" s="155" t="s">
        <v>318</v>
      </c>
    </row>
    <row r="53" spans="1:12" ht="15" customHeight="1" x14ac:dyDescent="0.25">
      <c r="B53" s="147"/>
      <c r="D53" s="153" t="s">
        <v>262</v>
      </c>
      <c r="E53" s="167"/>
      <c r="I53" s="152"/>
      <c r="K53" s="155" t="s">
        <v>166</v>
      </c>
    </row>
    <row r="54" spans="1:12" ht="15" customHeight="1" x14ac:dyDescent="0.25">
      <c r="B54" s="147"/>
      <c r="D54" s="153" t="s">
        <v>239</v>
      </c>
      <c r="E54" s="167"/>
      <c r="I54" s="152"/>
      <c r="K54" s="155" t="s">
        <v>169</v>
      </c>
    </row>
    <row r="55" spans="1:12" ht="15" customHeight="1" x14ac:dyDescent="0.25">
      <c r="B55" s="147"/>
      <c r="D55" s="153" t="s">
        <v>173</v>
      </c>
      <c r="E55" s="167"/>
      <c r="I55" s="152"/>
      <c r="K55" s="155" t="s">
        <v>282</v>
      </c>
    </row>
    <row r="56" spans="1:12" ht="15" customHeight="1" x14ac:dyDescent="0.25">
      <c r="B56" s="147"/>
      <c r="D56" s="156" t="s">
        <v>204</v>
      </c>
      <c r="E56" s="167"/>
      <c r="I56" s="152"/>
      <c r="K56" s="155" t="s">
        <v>260</v>
      </c>
    </row>
    <row r="57" spans="1:12" ht="15" customHeight="1" x14ac:dyDescent="0.25">
      <c r="D57" s="168"/>
      <c r="E57" s="167"/>
      <c r="I57" s="152"/>
      <c r="K57" s="155" t="s">
        <v>324</v>
      </c>
    </row>
    <row r="58" spans="1:12" ht="15" customHeight="1" x14ac:dyDescent="0.25">
      <c r="B58" s="149"/>
      <c r="D58" s="153" t="s">
        <v>278</v>
      </c>
      <c r="E58" s="167"/>
      <c r="I58" s="152"/>
      <c r="K58" s="155" t="s">
        <v>256</v>
      </c>
    </row>
    <row r="59" spans="1:12" ht="15" customHeight="1" x14ac:dyDescent="0.25">
      <c r="B59" s="149"/>
      <c r="D59" s="156" t="s">
        <v>170</v>
      </c>
      <c r="E59" s="167"/>
      <c r="I59" s="152"/>
      <c r="K59" s="155" t="s">
        <v>258</v>
      </c>
    </row>
    <row r="60" spans="1:12" ht="15" customHeight="1" x14ac:dyDescent="0.25">
      <c r="B60" s="149"/>
      <c r="D60" s="155" t="s">
        <v>323</v>
      </c>
      <c r="E60" s="167"/>
      <c r="I60" s="152"/>
      <c r="K60" s="153" t="s">
        <v>265</v>
      </c>
    </row>
    <row r="61" spans="1:12" ht="15" customHeight="1" x14ac:dyDescent="0.25">
      <c r="B61" s="149"/>
      <c r="D61" s="156" t="s">
        <v>211</v>
      </c>
      <c r="E61" s="167"/>
      <c r="I61" s="152"/>
      <c r="K61" s="155" t="s">
        <v>281</v>
      </c>
    </row>
    <row r="62" spans="1:12" ht="15" customHeight="1" x14ac:dyDescent="0.25">
      <c r="B62" s="149"/>
      <c r="D62" s="153" t="s">
        <v>275</v>
      </c>
      <c r="E62" s="167"/>
      <c r="I62" s="152"/>
      <c r="K62" s="153" t="s">
        <v>231</v>
      </c>
    </row>
    <row r="63" spans="1:12" ht="15" customHeight="1" x14ac:dyDescent="0.25">
      <c r="B63" s="149"/>
      <c r="D63" s="156" t="s">
        <v>274</v>
      </c>
      <c r="E63" s="167"/>
      <c r="I63" s="152"/>
      <c r="K63" s="153" t="s">
        <v>283</v>
      </c>
    </row>
    <row r="64" spans="1:12" ht="15" customHeight="1" x14ac:dyDescent="0.25">
      <c r="D64" s="155"/>
      <c r="E64" s="167"/>
      <c r="I64" s="152"/>
      <c r="K64" s="156" t="s">
        <v>203</v>
      </c>
    </row>
    <row r="65" spans="1:11" ht="15" customHeight="1" x14ac:dyDescent="0.25">
      <c r="B65" s="150"/>
      <c r="D65" s="155" t="s">
        <v>271</v>
      </c>
      <c r="E65" s="167"/>
      <c r="I65" s="152"/>
      <c r="K65" s="153" t="s">
        <v>277</v>
      </c>
    </row>
    <row r="66" spans="1:11" ht="15" customHeight="1" x14ac:dyDescent="0.25">
      <c r="B66" s="150"/>
      <c r="D66" s="155" t="s">
        <v>246</v>
      </c>
      <c r="E66" s="167"/>
      <c r="I66" s="42"/>
      <c r="J66" s="41"/>
      <c r="K66" s="169"/>
    </row>
    <row r="67" spans="1:11" ht="15" customHeight="1" x14ac:dyDescent="0.25">
      <c r="B67" s="150"/>
      <c r="D67" s="155" t="s">
        <v>224</v>
      </c>
      <c r="E67" s="167"/>
      <c r="I67" s="42"/>
      <c r="J67" s="41"/>
      <c r="K67" s="42"/>
    </row>
    <row r="68" spans="1:11" ht="15" customHeight="1" x14ac:dyDescent="0.25">
      <c r="B68" s="41"/>
      <c r="C68" s="41"/>
      <c r="D68" s="169"/>
      <c r="E68" s="159"/>
      <c r="F68" s="41"/>
      <c r="G68" s="41"/>
      <c r="H68" s="41"/>
      <c r="I68" s="42"/>
      <c r="J68" s="41"/>
      <c r="K68" s="42"/>
    </row>
    <row r="69" spans="1:11" ht="15" customHeight="1" x14ac:dyDescent="0.25">
      <c r="B69" s="41"/>
      <c r="C69" s="41"/>
      <c r="D69" s="170"/>
      <c r="E69" s="41"/>
      <c r="F69" s="41"/>
      <c r="G69" s="41"/>
      <c r="H69" s="41"/>
      <c r="I69" s="42"/>
      <c r="J69" s="41"/>
      <c r="K69" s="42"/>
    </row>
    <row r="70" spans="1:11" s="175" customFormat="1" ht="185.25" customHeight="1" x14ac:dyDescent="0.25">
      <c r="A70" s="171"/>
      <c r="B70" s="172"/>
      <c r="C70" s="172"/>
      <c r="D70" s="173"/>
      <c r="E70" s="172"/>
      <c r="F70" s="172"/>
      <c r="G70" s="172"/>
      <c r="H70" s="172"/>
      <c r="I70" s="174"/>
      <c r="J70" s="172"/>
      <c r="K70" s="174"/>
    </row>
    <row r="71" spans="1:11" s="175" customFormat="1" ht="185.25" customHeight="1" x14ac:dyDescent="0.25">
      <c r="A71" s="171"/>
      <c r="B71" s="172"/>
      <c r="C71" s="172"/>
      <c r="D71" s="172"/>
      <c r="E71" s="172"/>
      <c r="F71" s="172"/>
      <c r="G71" s="172"/>
      <c r="H71" s="172"/>
      <c r="I71" s="174"/>
      <c r="J71" s="172"/>
      <c r="K71" s="174"/>
    </row>
    <row r="72" spans="1:11" s="175" customFormat="1" ht="185.25" customHeight="1" x14ac:dyDescent="0.25">
      <c r="A72" s="171"/>
      <c r="B72" s="172"/>
      <c r="C72" s="172"/>
      <c r="D72" s="172"/>
      <c r="E72" s="172"/>
      <c r="F72" s="172"/>
      <c r="G72" s="172"/>
      <c r="H72" s="172"/>
      <c r="I72" s="174"/>
      <c r="J72" s="172"/>
      <c r="K72" s="174"/>
    </row>
    <row r="73" spans="1:11" s="175" customFormat="1" ht="185.25" customHeight="1" x14ac:dyDescent="0.25">
      <c r="A73" s="171"/>
      <c r="B73" s="171"/>
      <c r="C73" s="171"/>
      <c r="D73" s="171"/>
      <c r="E73" s="171"/>
      <c r="F73" s="171"/>
      <c r="G73" s="171"/>
      <c r="H73" s="171"/>
      <c r="J73" s="171"/>
    </row>
    <row r="74" spans="1:11" s="175" customFormat="1" ht="185.25" customHeight="1" x14ac:dyDescent="0.25">
      <c r="A74" s="171"/>
      <c r="B74" s="171"/>
      <c r="C74" s="171"/>
      <c r="D74" s="171"/>
      <c r="E74" s="171"/>
      <c r="F74" s="171"/>
      <c r="G74" s="171"/>
      <c r="H74" s="171"/>
      <c r="J74" s="171"/>
    </row>
    <row r="75" spans="1:11" s="175" customFormat="1" ht="185.25" customHeight="1" x14ac:dyDescent="0.25">
      <c r="A75" s="171"/>
      <c r="B75" s="171"/>
      <c r="C75" s="171"/>
      <c r="D75" s="171"/>
      <c r="E75" s="171"/>
      <c r="F75" s="171"/>
      <c r="G75" s="171"/>
      <c r="H75" s="171"/>
      <c r="J75" s="171"/>
    </row>
    <row r="76" spans="1:11" s="175" customFormat="1" ht="185.25" customHeight="1" x14ac:dyDescent="0.25">
      <c r="A76" s="171"/>
      <c r="B76" s="171"/>
      <c r="C76" s="171"/>
      <c r="D76" s="171"/>
      <c r="E76" s="171"/>
      <c r="F76" s="171"/>
      <c r="G76" s="171"/>
      <c r="H76" s="171"/>
      <c r="J76" s="171"/>
    </row>
    <row r="77" spans="1:11" s="175" customFormat="1" ht="185.25" customHeight="1" x14ac:dyDescent="0.25">
      <c r="A77" s="171"/>
      <c r="B77" s="171"/>
      <c r="C77" s="171"/>
      <c r="D77" s="171"/>
      <c r="E77" s="171"/>
      <c r="F77" s="171"/>
      <c r="G77" s="171"/>
      <c r="H77" s="171"/>
      <c r="J77" s="171"/>
    </row>
    <row r="78" spans="1:11" ht="15" customHeight="1" x14ac:dyDescent="0.25"/>
    <row r="79" spans="1:11" ht="15" customHeight="1" x14ac:dyDescent="0.25"/>
    <row r="80" spans="1:1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sheetData>
  <sheetProtection selectLockedCells="1" selectUnlockedCells="1"/>
  <mergeCells count="1">
    <mergeCell ref="B2:F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5"/>
  <sheetViews>
    <sheetView topLeftCell="A25" workbookViewId="0">
      <selection activeCell="K25" sqref="K25"/>
    </sheetView>
  </sheetViews>
  <sheetFormatPr defaultColWidth="8.85546875" defaultRowHeight="15" x14ac:dyDescent="0.25"/>
  <cols>
    <col min="1" max="1" width="4" style="7" customWidth="1"/>
    <col min="2" max="8" width="8.85546875" style="7"/>
    <col min="9" max="9" width="8.85546875" style="7" customWidth="1"/>
    <col min="10" max="16" width="8.85546875" style="7"/>
    <col min="17" max="17" width="8.85546875" style="7" customWidth="1"/>
    <col min="18" max="16384" width="8.85546875" style="7"/>
  </cols>
  <sheetData>
    <row r="2" spans="2:10" x14ac:dyDescent="0.25">
      <c r="B2" s="10" t="s">
        <v>58</v>
      </c>
    </row>
    <row r="3" spans="2:10" ht="13.9" customHeight="1" x14ac:dyDescent="0.25">
      <c r="B3" s="6" t="s">
        <v>54</v>
      </c>
      <c r="F3" s="229" t="s">
        <v>60</v>
      </c>
      <c r="G3" s="7" t="s">
        <v>38</v>
      </c>
      <c r="J3" s="7">
        <f>COUNTIF($D$23:$D$52,G3)</f>
        <v>0</v>
      </c>
    </row>
    <row r="4" spans="2:10" x14ac:dyDescent="0.25">
      <c r="B4" s="7" t="s">
        <v>57</v>
      </c>
      <c r="D4" s="7">
        <f>SUM(D7:D9)</f>
        <v>0</v>
      </c>
      <c r="F4" s="229"/>
      <c r="G4" s="7" t="s">
        <v>49</v>
      </c>
      <c r="J4" s="7">
        <f t="shared" ref="J4:J20" si="0">COUNTIF($D$23:$D$52,G4)</f>
        <v>0</v>
      </c>
    </row>
    <row r="5" spans="2:10" x14ac:dyDescent="0.25">
      <c r="F5" s="229"/>
      <c r="G5" s="7" t="s">
        <v>52</v>
      </c>
      <c r="J5" s="7">
        <f t="shared" si="0"/>
        <v>0</v>
      </c>
    </row>
    <row r="6" spans="2:10" x14ac:dyDescent="0.25">
      <c r="B6" s="6" t="s">
        <v>55</v>
      </c>
      <c r="F6" s="229"/>
      <c r="G6" s="7" t="s">
        <v>51</v>
      </c>
      <c r="J6" s="7">
        <f t="shared" si="0"/>
        <v>0</v>
      </c>
    </row>
    <row r="7" spans="2:10" x14ac:dyDescent="0.25">
      <c r="B7" s="7" t="s">
        <v>15</v>
      </c>
      <c r="D7" s="7">
        <f>COUNTIF($C$23:$C$52,B7)</f>
        <v>0</v>
      </c>
      <c r="E7" s="25" t="s">
        <v>15</v>
      </c>
      <c r="F7" s="229"/>
      <c r="G7" s="7" t="s">
        <v>50</v>
      </c>
      <c r="J7" s="7">
        <f t="shared" si="0"/>
        <v>0</v>
      </c>
    </row>
    <row r="8" spans="2:10" x14ac:dyDescent="0.25">
      <c r="B8" s="7" t="s">
        <v>17</v>
      </c>
      <c r="D8" s="7">
        <f>COUNTIF($C$23:$C$52,B8)</f>
        <v>0</v>
      </c>
      <c r="E8" s="25" t="s">
        <v>17</v>
      </c>
      <c r="F8" s="229"/>
      <c r="G8" s="7" t="s">
        <v>46</v>
      </c>
      <c r="J8" s="7">
        <f t="shared" si="0"/>
        <v>0</v>
      </c>
    </row>
    <row r="9" spans="2:10" x14ac:dyDescent="0.25">
      <c r="B9" s="7" t="s">
        <v>19</v>
      </c>
      <c r="D9" s="7">
        <f>COUNTIF($C$23:$C$52,B9)</f>
        <v>0</v>
      </c>
      <c r="E9" s="25" t="s">
        <v>19</v>
      </c>
      <c r="G9" s="7" t="s">
        <v>40</v>
      </c>
      <c r="J9" s="7">
        <f t="shared" si="0"/>
        <v>0</v>
      </c>
    </row>
    <row r="10" spans="2:10" x14ac:dyDescent="0.25">
      <c r="G10" s="7" t="s">
        <v>41</v>
      </c>
      <c r="J10" s="7">
        <f t="shared" si="0"/>
        <v>0</v>
      </c>
    </row>
    <row r="11" spans="2:10" x14ac:dyDescent="0.25">
      <c r="B11" s="6" t="s">
        <v>56</v>
      </c>
      <c r="G11" s="7" t="s">
        <v>48</v>
      </c>
      <c r="J11" s="7">
        <f t="shared" si="0"/>
        <v>0</v>
      </c>
    </row>
    <row r="12" spans="2:10" x14ac:dyDescent="0.25">
      <c r="B12" s="7" t="s">
        <v>22</v>
      </c>
      <c r="D12" s="7">
        <f>COUNTIF($B$23:$B$52,B12)</f>
        <v>0</v>
      </c>
      <c r="G12" s="7" t="s">
        <v>47</v>
      </c>
      <c r="J12" s="7">
        <f t="shared" si="0"/>
        <v>0</v>
      </c>
    </row>
    <row r="13" spans="2:10" x14ac:dyDescent="0.25">
      <c r="B13" s="7" t="s">
        <v>23</v>
      </c>
      <c r="D13" s="7">
        <f t="shared" ref="D13:D17" si="1">COUNTIF($B$23:$B$52,B13)</f>
        <v>0</v>
      </c>
      <c r="G13" s="7" t="s">
        <v>39</v>
      </c>
      <c r="J13" s="7">
        <f t="shared" si="0"/>
        <v>0</v>
      </c>
    </row>
    <row r="14" spans="2:10" x14ac:dyDescent="0.25">
      <c r="B14" s="7" t="s">
        <v>24</v>
      </c>
      <c r="D14" s="7">
        <f t="shared" si="1"/>
        <v>0</v>
      </c>
      <c r="G14" s="7" t="s">
        <v>37</v>
      </c>
      <c r="J14" s="7">
        <f t="shared" si="0"/>
        <v>0</v>
      </c>
    </row>
    <row r="15" spans="2:10" x14ac:dyDescent="0.25">
      <c r="B15" s="7" t="s">
        <v>25</v>
      </c>
      <c r="D15" s="7">
        <f t="shared" si="1"/>
        <v>0</v>
      </c>
      <c r="G15" s="7" t="s">
        <v>36</v>
      </c>
      <c r="J15" s="7">
        <f t="shared" si="0"/>
        <v>0</v>
      </c>
    </row>
    <row r="16" spans="2:10" x14ac:dyDescent="0.25">
      <c r="B16" s="7" t="s">
        <v>26</v>
      </c>
      <c r="D16" s="7">
        <f t="shared" si="1"/>
        <v>0</v>
      </c>
      <c r="G16" s="7" t="s">
        <v>43</v>
      </c>
      <c r="J16" s="7">
        <f t="shared" si="0"/>
        <v>0</v>
      </c>
    </row>
    <row r="17" spans="2:14" x14ac:dyDescent="0.25">
      <c r="B17" s="7" t="s">
        <v>27</v>
      </c>
      <c r="D17" s="7">
        <f t="shared" si="1"/>
        <v>0</v>
      </c>
      <c r="G17" s="7" t="s">
        <v>44</v>
      </c>
      <c r="J17" s="7">
        <f t="shared" si="0"/>
        <v>0</v>
      </c>
    </row>
    <row r="18" spans="2:14" x14ac:dyDescent="0.25">
      <c r="G18" s="7" t="s">
        <v>45</v>
      </c>
      <c r="J18" s="7">
        <f t="shared" si="0"/>
        <v>0</v>
      </c>
    </row>
    <row r="19" spans="2:14" s="12" customFormat="1" x14ac:dyDescent="0.25">
      <c r="G19" s="12" t="s">
        <v>35</v>
      </c>
      <c r="J19" s="7">
        <f t="shared" si="0"/>
        <v>0</v>
      </c>
    </row>
    <row r="20" spans="2:14" x14ac:dyDescent="0.25">
      <c r="G20" s="7" t="s">
        <v>42</v>
      </c>
      <c r="J20" s="7">
        <f t="shared" si="0"/>
        <v>0</v>
      </c>
    </row>
    <row r="21" spans="2:14" s="9" customFormat="1" x14ac:dyDescent="0.25">
      <c r="B21" s="13"/>
    </row>
    <row r="22" spans="2:14" x14ac:dyDescent="0.25">
      <c r="B22" s="6"/>
      <c r="C22" s="6"/>
      <c r="D22" s="6"/>
    </row>
    <row r="23" spans="2:14" x14ac:dyDescent="0.25">
      <c r="B23" s="10" t="s">
        <v>59</v>
      </c>
      <c r="G23" s="10" t="s">
        <v>125</v>
      </c>
    </row>
    <row r="24" spans="2:14" x14ac:dyDescent="0.25">
      <c r="B24" s="6" t="s">
        <v>32</v>
      </c>
      <c r="C24" s="6" t="s">
        <v>33</v>
      </c>
      <c r="D24" s="6" t="s">
        <v>53</v>
      </c>
      <c r="E24" s="6" t="s">
        <v>314</v>
      </c>
      <c r="G24" s="6" t="s">
        <v>32</v>
      </c>
      <c r="H24" s="6" t="s">
        <v>33</v>
      </c>
      <c r="I24" s="6" t="s">
        <v>53</v>
      </c>
    </row>
    <row r="25" spans="2:14" x14ac:dyDescent="0.25">
      <c r="B25" s="7" t="e">
        <f>VLOOKUP('Range Check'!L8,'Product Reference'!B:E,2,FALSE)</f>
        <v>#N/A</v>
      </c>
      <c r="C25" s="7" t="e">
        <f>VLOOKUP('Range Check'!L8,'Product Reference'!B:E,3,FALSE)</f>
        <v>#N/A</v>
      </c>
      <c r="D25" s="7" t="e">
        <f>VLOOKUP('Range Check'!L8,'Product Reference'!B:E,4,FALSE)</f>
        <v>#N/A</v>
      </c>
      <c r="E25" s="7" t="str">
        <f>'Range Check'!S8</f>
        <v>X</v>
      </c>
      <c r="G25" s="7" t="e">
        <f>B54</f>
        <v>#N/A</v>
      </c>
      <c r="H25" s="7" t="e">
        <f t="shared" ref="H25" si="2">C54</f>
        <v>#N/A</v>
      </c>
      <c r="I25" s="7" t="e">
        <f>IF(L25=1,0,D54)</f>
        <v>#N/A</v>
      </c>
      <c r="J25" s="7" t="str">
        <f>IF(OR(L25&gt;2,L25&lt;=0),N25,"")</f>
        <v/>
      </c>
      <c r="K25" s="7">
        <f>IF(E25="X",'Range Check'!L8,"")</f>
        <v>0</v>
      </c>
      <c r="L25" s="7">
        <f>COUNTIF($K$25:$K$54,N25)</f>
        <v>29</v>
      </c>
      <c r="M25" s="7" t="str">
        <f>IF(OR(L25&gt;2,L25&lt;=0),N25,"")</f>
        <v/>
      </c>
      <c r="N25" s="7" t="str">
        <f>'Range Check'!L37</f>
        <v/>
      </c>
    </row>
    <row r="26" spans="2:14" x14ac:dyDescent="0.25">
      <c r="B26" s="7" t="e">
        <f>VLOOKUP('Range Check'!L9,'Product Reference'!B:E,2,FALSE)</f>
        <v>#N/A</v>
      </c>
      <c r="C26" s="7" t="e">
        <f>VLOOKUP('Range Check'!L9,'Product Reference'!B:E,3,FALSE)</f>
        <v>#N/A</v>
      </c>
      <c r="D26" s="7" t="e">
        <f>VLOOKUP('Range Check'!L9,'Product Reference'!B:E,4,FALSE)</f>
        <v>#N/A</v>
      </c>
      <c r="E26" s="7">
        <f>'Range Check'!S9</f>
        <v>0</v>
      </c>
      <c r="G26" s="7" t="e">
        <f>B53</f>
        <v>#N/A</v>
      </c>
      <c r="H26" s="7" t="e">
        <f t="shared" ref="H26" si="3">C53</f>
        <v>#N/A</v>
      </c>
      <c r="I26" s="7" t="e">
        <f>IF(L26=1,0,D53)</f>
        <v>#N/A</v>
      </c>
      <c r="J26" s="7" t="str">
        <f>IF(OR(L26&gt;2,L26&lt;=0),N26,"")</f>
        <v/>
      </c>
      <c r="K26" s="7" t="str">
        <f>IF(E26="X",'Range Check'!L9,"")</f>
        <v/>
      </c>
      <c r="L26" s="7">
        <f>COUNTIF($K$25:$K$54,N26)</f>
        <v>29</v>
      </c>
      <c r="M26" s="7" t="str">
        <f t="shared" ref="M26:M54" si="4">IF(OR(L26&gt;2,L26&lt;=0),N26,"")</f>
        <v/>
      </c>
      <c r="N26" s="7" t="str">
        <f>'Range Check'!L36</f>
        <v/>
      </c>
    </row>
    <row r="27" spans="2:14" x14ac:dyDescent="0.25">
      <c r="B27" s="7" t="e">
        <f>VLOOKUP('Range Check'!L10,'Product Reference'!B:E,2,FALSE)</f>
        <v>#N/A</v>
      </c>
      <c r="C27" s="7" t="e">
        <f>VLOOKUP('Range Check'!L10,'Product Reference'!B:E,3,FALSE)</f>
        <v>#N/A</v>
      </c>
      <c r="D27" s="7" t="e">
        <f>VLOOKUP('Range Check'!L10,'Product Reference'!B:E,4,FALSE)</f>
        <v>#N/A</v>
      </c>
      <c r="E27" s="7">
        <f>'Range Check'!S10</f>
        <v>0</v>
      </c>
      <c r="G27" s="7" t="e">
        <f>B52</f>
        <v>#N/A</v>
      </c>
      <c r="H27" s="7" t="e">
        <f t="shared" ref="H27" si="5">C52</f>
        <v>#N/A</v>
      </c>
      <c r="I27" s="7" t="e">
        <f>IF(L27=1,0,D52)</f>
        <v>#N/A</v>
      </c>
      <c r="J27" s="7" t="str">
        <f t="shared" ref="J27:J54" si="6">IF(OR(L27&gt;2,L27&lt;=0),N27,"")</f>
        <v/>
      </c>
      <c r="K27" s="7" t="str">
        <f>IF(E27="X",'Range Check'!L10,"")</f>
        <v/>
      </c>
      <c r="L27" s="7">
        <f t="shared" ref="L27:L53" si="7">COUNTIF($K$25:$K$54,N27)</f>
        <v>29</v>
      </c>
      <c r="M27" s="7" t="str">
        <f t="shared" si="4"/>
        <v/>
      </c>
      <c r="N27" s="7" t="str">
        <f>'Range Check'!L35</f>
        <v/>
      </c>
    </row>
    <row r="28" spans="2:14" x14ac:dyDescent="0.25">
      <c r="B28" s="7" t="e">
        <f>VLOOKUP('Range Check'!L11,'Product Reference'!B:E,2,FALSE)</f>
        <v>#N/A</v>
      </c>
      <c r="C28" s="7" t="e">
        <f>VLOOKUP('Range Check'!L11,'Product Reference'!B:E,3,FALSE)</f>
        <v>#N/A</v>
      </c>
      <c r="D28" s="7" t="e">
        <f>VLOOKUP('Range Check'!L11,'Product Reference'!B:E,4,FALSE)</f>
        <v>#N/A</v>
      </c>
      <c r="E28" s="7">
        <f>'Range Check'!S11</f>
        <v>0</v>
      </c>
      <c r="G28" s="7" t="e">
        <f>B51</f>
        <v>#N/A</v>
      </c>
      <c r="H28" s="7" t="e">
        <f t="shared" ref="H28" si="8">C51</f>
        <v>#N/A</v>
      </c>
      <c r="I28" s="7" t="e">
        <f>IF(L28=1,0,D51)</f>
        <v>#N/A</v>
      </c>
      <c r="J28" s="7" t="str">
        <f t="shared" si="6"/>
        <v/>
      </c>
      <c r="K28" s="7" t="str">
        <f>IF(E28="X",'Range Check'!L11,"")</f>
        <v/>
      </c>
      <c r="L28" s="7">
        <f t="shared" si="7"/>
        <v>29</v>
      </c>
      <c r="M28" s="7" t="str">
        <f t="shared" si="4"/>
        <v/>
      </c>
      <c r="N28" s="7" t="str">
        <f>'Range Check'!L34</f>
        <v/>
      </c>
    </row>
    <row r="29" spans="2:14" x14ac:dyDescent="0.25">
      <c r="B29" s="7" t="e">
        <f>VLOOKUP('Range Check'!L12,'Product Reference'!B:E,2,FALSE)</f>
        <v>#N/A</v>
      </c>
      <c r="C29" s="7" t="e">
        <f>VLOOKUP('Range Check'!L12,'Product Reference'!B:E,3,FALSE)</f>
        <v>#N/A</v>
      </c>
      <c r="D29" s="7" t="e">
        <f>VLOOKUP('Range Check'!L12,'Product Reference'!B:E,4,FALSE)</f>
        <v>#N/A</v>
      </c>
      <c r="E29" s="7">
        <f>'Range Check'!S12</f>
        <v>0</v>
      </c>
      <c r="G29" s="7" t="e">
        <f>B50</f>
        <v>#N/A</v>
      </c>
      <c r="H29" s="7" t="e">
        <f t="shared" ref="H29" si="9">C50</f>
        <v>#N/A</v>
      </c>
      <c r="I29" s="7" t="e">
        <f>IF(L29=1,0,D50)</f>
        <v>#N/A</v>
      </c>
      <c r="J29" s="7" t="str">
        <f t="shared" si="6"/>
        <v/>
      </c>
      <c r="K29" s="7" t="str">
        <f>IF(E29="X",'Range Check'!L12,"")</f>
        <v/>
      </c>
      <c r="L29" s="7">
        <f t="shared" si="7"/>
        <v>29</v>
      </c>
      <c r="M29" s="7" t="str">
        <f t="shared" si="4"/>
        <v/>
      </c>
      <c r="N29" s="7" t="str">
        <f>'Range Check'!L33</f>
        <v/>
      </c>
    </row>
    <row r="30" spans="2:14" x14ac:dyDescent="0.25">
      <c r="B30" s="7" t="e">
        <f>VLOOKUP('Range Check'!L13,'Product Reference'!B:E,2,FALSE)</f>
        <v>#N/A</v>
      </c>
      <c r="C30" s="7" t="e">
        <f>VLOOKUP('Range Check'!L13,'Product Reference'!B:E,3,FALSE)</f>
        <v>#N/A</v>
      </c>
      <c r="D30" s="7" t="e">
        <f>VLOOKUP('Range Check'!L13,'Product Reference'!B:E,4,FALSE)</f>
        <v>#N/A</v>
      </c>
      <c r="E30" s="7">
        <f>'Range Check'!S13</f>
        <v>0</v>
      </c>
      <c r="G30" s="7" t="e">
        <f>B49</f>
        <v>#N/A</v>
      </c>
      <c r="H30" s="7" t="e">
        <f t="shared" ref="H30" si="10">C49</f>
        <v>#N/A</v>
      </c>
      <c r="I30" s="7" t="e">
        <f>IF(L30=1,0,D49)</f>
        <v>#N/A</v>
      </c>
      <c r="J30" s="7" t="str">
        <f t="shared" si="6"/>
        <v/>
      </c>
      <c r="K30" s="7" t="str">
        <f>IF(E30="X",'Range Check'!L13,"")</f>
        <v/>
      </c>
      <c r="L30" s="7">
        <f t="shared" si="7"/>
        <v>29</v>
      </c>
      <c r="M30" s="7" t="str">
        <f t="shared" si="4"/>
        <v/>
      </c>
      <c r="N30" s="7" t="str">
        <f>'Range Check'!L32</f>
        <v/>
      </c>
    </row>
    <row r="31" spans="2:14" x14ac:dyDescent="0.25">
      <c r="B31" s="7" t="e">
        <f>VLOOKUP('Range Check'!L14,'Product Reference'!B:E,2,FALSE)</f>
        <v>#N/A</v>
      </c>
      <c r="C31" s="7" t="e">
        <f>VLOOKUP('Range Check'!L14,'Product Reference'!B:E,3,FALSE)</f>
        <v>#N/A</v>
      </c>
      <c r="D31" s="7" t="e">
        <f>VLOOKUP('Range Check'!L14,'Product Reference'!B:E,4,FALSE)</f>
        <v>#N/A</v>
      </c>
      <c r="E31" s="7">
        <f>'Range Check'!S14</f>
        <v>0</v>
      </c>
      <c r="G31" s="7" t="e">
        <f>B48</f>
        <v>#N/A</v>
      </c>
      <c r="H31" s="7" t="e">
        <f t="shared" ref="H31" si="11">C48</f>
        <v>#N/A</v>
      </c>
      <c r="I31" s="7" t="e">
        <f>IF(L31=1,0,D48)</f>
        <v>#N/A</v>
      </c>
      <c r="J31" s="7" t="str">
        <f t="shared" si="6"/>
        <v/>
      </c>
      <c r="K31" s="7" t="str">
        <f>IF(E31="X",'Range Check'!L14,"")</f>
        <v/>
      </c>
      <c r="L31" s="7">
        <f t="shared" si="7"/>
        <v>29</v>
      </c>
      <c r="M31" s="7" t="str">
        <f t="shared" si="4"/>
        <v/>
      </c>
      <c r="N31" s="7" t="str">
        <f>'Range Check'!L31</f>
        <v/>
      </c>
    </row>
    <row r="32" spans="2:14" x14ac:dyDescent="0.25">
      <c r="B32" s="7" t="e">
        <f>VLOOKUP('Range Check'!L15,'Product Reference'!B:E,2,FALSE)</f>
        <v>#N/A</v>
      </c>
      <c r="C32" s="7" t="e">
        <f>VLOOKUP('Range Check'!L15,'Product Reference'!B:E,3,FALSE)</f>
        <v>#N/A</v>
      </c>
      <c r="D32" s="7" t="e">
        <f>VLOOKUP('Range Check'!L15,'Product Reference'!B:E,4,FALSE)</f>
        <v>#N/A</v>
      </c>
      <c r="E32" s="7">
        <f>'Range Check'!S15</f>
        <v>0</v>
      </c>
      <c r="G32" s="7" t="e">
        <f>B47</f>
        <v>#N/A</v>
      </c>
      <c r="H32" s="7" t="e">
        <f t="shared" ref="H32" si="12">C47</f>
        <v>#N/A</v>
      </c>
      <c r="I32" s="7" t="e">
        <f>IF(L32=1,0,D47)</f>
        <v>#N/A</v>
      </c>
      <c r="J32" s="7" t="str">
        <f t="shared" si="6"/>
        <v/>
      </c>
      <c r="K32" s="7" t="str">
        <f>IF(E32="X",'Range Check'!L15,"")</f>
        <v/>
      </c>
      <c r="L32" s="7">
        <f t="shared" si="7"/>
        <v>29</v>
      </c>
      <c r="M32" s="7" t="str">
        <f t="shared" si="4"/>
        <v/>
      </c>
      <c r="N32" s="7" t="str">
        <f>'Range Check'!L30</f>
        <v/>
      </c>
    </row>
    <row r="33" spans="2:14" x14ac:dyDescent="0.25">
      <c r="B33" s="7" t="e">
        <f>VLOOKUP('Range Check'!L16,'Product Reference'!B:E,2,FALSE)</f>
        <v>#N/A</v>
      </c>
      <c r="C33" s="7" t="e">
        <f>VLOOKUP('Range Check'!L16,'Product Reference'!B:E,3,FALSE)</f>
        <v>#N/A</v>
      </c>
      <c r="D33" s="7" t="e">
        <f>VLOOKUP('Range Check'!L16,'Product Reference'!B:E,4,FALSE)</f>
        <v>#N/A</v>
      </c>
      <c r="E33" s="7">
        <f>'Range Check'!S16</f>
        <v>0</v>
      </c>
      <c r="G33" s="7" t="e">
        <f>B46</f>
        <v>#N/A</v>
      </c>
      <c r="H33" s="7" t="e">
        <f t="shared" ref="H33" si="13">C46</f>
        <v>#N/A</v>
      </c>
      <c r="I33" s="7" t="e">
        <f>IF(L33=1,0,D46)</f>
        <v>#N/A</v>
      </c>
      <c r="J33" s="7" t="str">
        <f t="shared" si="6"/>
        <v/>
      </c>
      <c r="K33" s="7" t="str">
        <f>IF(E33="X",'Range Check'!L16,"")</f>
        <v/>
      </c>
      <c r="L33" s="7">
        <f t="shared" si="7"/>
        <v>29</v>
      </c>
      <c r="M33" s="7" t="str">
        <f t="shared" si="4"/>
        <v/>
      </c>
      <c r="N33" s="7" t="str">
        <f>'Range Check'!L29</f>
        <v/>
      </c>
    </row>
    <row r="34" spans="2:14" x14ac:dyDescent="0.25">
      <c r="B34" s="7" t="e">
        <f>VLOOKUP('Range Check'!L17,'Product Reference'!B:E,2,FALSE)</f>
        <v>#N/A</v>
      </c>
      <c r="C34" s="7" t="e">
        <f>VLOOKUP('Range Check'!L17,'Product Reference'!B:E,3,FALSE)</f>
        <v>#N/A</v>
      </c>
      <c r="D34" s="7" t="e">
        <f>VLOOKUP('Range Check'!L17,'Product Reference'!B:E,4,FALSE)</f>
        <v>#N/A</v>
      </c>
      <c r="E34" s="7">
        <f>'Range Check'!S17</f>
        <v>0</v>
      </c>
      <c r="G34" s="7" t="e">
        <f>B45</f>
        <v>#N/A</v>
      </c>
      <c r="H34" s="7" t="e">
        <f t="shared" ref="H34" si="14">C45</f>
        <v>#N/A</v>
      </c>
      <c r="I34" s="7" t="e">
        <f>IF(L34=1,0,D45)</f>
        <v>#N/A</v>
      </c>
      <c r="J34" s="7" t="str">
        <f t="shared" si="6"/>
        <v/>
      </c>
      <c r="K34" s="7" t="str">
        <f>IF(E34="X",'Range Check'!L17,"")</f>
        <v/>
      </c>
      <c r="L34" s="7">
        <f t="shared" si="7"/>
        <v>29</v>
      </c>
      <c r="M34" s="7" t="str">
        <f t="shared" si="4"/>
        <v/>
      </c>
      <c r="N34" s="7" t="str">
        <f>'Range Check'!L28</f>
        <v/>
      </c>
    </row>
    <row r="35" spans="2:14" x14ac:dyDescent="0.25">
      <c r="B35" s="7" t="e">
        <f>VLOOKUP('Range Check'!L18,'Product Reference'!B:E,2,FALSE)</f>
        <v>#N/A</v>
      </c>
      <c r="C35" s="7" t="e">
        <f>VLOOKUP('Range Check'!L18,'Product Reference'!B:E,3,FALSE)</f>
        <v>#N/A</v>
      </c>
      <c r="D35" s="7" t="e">
        <f>VLOOKUP('Range Check'!L18,'Product Reference'!B:E,4,FALSE)</f>
        <v>#N/A</v>
      </c>
      <c r="E35" s="7">
        <f>'Range Check'!S18</f>
        <v>0</v>
      </c>
      <c r="G35" s="7" t="e">
        <f>B44</f>
        <v>#N/A</v>
      </c>
      <c r="H35" s="7" t="e">
        <f t="shared" ref="H35" si="15">C44</f>
        <v>#N/A</v>
      </c>
      <c r="I35" s="7" t="e">
        <f>IF(L35=1,0,D44)</f>
        <v>#N/A</v>
      </c>
      <c r="J35" s="7" t="str">
        <f t="shared" si="6"/>
        <v/>
      </c>
      <c r="K35" s="7" t="str">
        <f>IF(E35="X",'Range Check'!L18,"")</f>
        <v/>
      </c>
      <c r="L35" s="7">
        <f t="shared" si="7"/>
        <v>29</v>
      </c>
      <c r="M35" s="7" t="str">
        <f t="shared" si="4"/>
        <v/>
      </c>
      <c r="N35" s="7" t="str">
        <f>'Range Check'!L27</f>
        <v/>
      </c>
    </row>
    <row r="36" spans="2:14" x14ac:dyDescent="0.25">
      <c r="B36" s="7" t="e">
        <f>VLOOKUP('Range Check'!L19,'Product Reference'!B:E,2,FALSE)</f>
        <v>#N/A</v>
      </c>
      <c r="C36" s="7" t="e">
        <f>VLOOKUP('Range Check'!L19,'Product Reference'!B:E,3,FALSE)</f>
        <v>#N/A</v>
      </c>
      <c r="D36" s="7" t="e">
        <f>VLOOKUP('Range Check'!L19,'Product Reference'!B:E,4,FALSE)</f>
        <v>#N/A</v>
      </c>
      <c r="E36" s="7">
        <f>'Range Check'!S19</f>
        <v>0</v>
      </c>
      <c r="G36" s="7" t="e">
        <f>B43</f>
        <v>#N/A</v>
      </c>
      <c r="H36" s="7" t="e">
        <f t="shared" ref="H36" si="16">C43</f>
        <v>#N/A</v>
      </c>
      <c r="I36" s="7" t="e">
        <f>IF(L36=1,0,D43)</f>
        <v>#N/A</v>
      </c>
      <c r="J36" s="7" t="str">
        <f t="shared" si="6"/>
        <v/>
      </c>
      <c r="K36" s="7" t="str">
        <f>IF(E36="X",'Range Check'!L19,"")</f>
        <v/>
      </c>
      <c r="L36" s="7">
        <f t="shared" si="7"/>
        <v>29</v>
      </c>
      <c r="M36" s="7" t="str">
        <f t="shared" si="4"/>
        <v/>
      </c>
      <c r="N36" s="7" t="str">
        <f>'Range Check'!L26</f>
        <v/>
      </c>
    </row>
    <row r="37" spans="2:14" x14ac:dyDescent="0.25">
      <c r="B37" s="7" t="e">
        <f>VLOOKUP('Range Check'!L20,'Product Reference'!B:E,2,FALSE)</f>
        <v>#N/A</v>
      </c>
      <c r="C37" s="7" t="e">
        <f>VLOOKUP('Range Check'!L20,'Product Reference'!B:E,3,FALSE)</f>
        <v>#N/A</v>
      </c>
      <c r="D37" s="7" t="e">
        <f>VLOOKUP('Range Check'!L20,'Product Reference'!B:E,4,FALSE)</f>
        <v>#N/A</v>
      </c>
      <c r="E37" s="7">
        <f>'Range Check'!S20</f>
        <v>0</v>
      </c>
      <c r="G37" s="7" t="e">
        <f>B42</f>
        <v>#N/A</v>
      </c>
      <c r="H37" s="7" t="e">
        <f t="shared" ref="H37" si="17">C42</f>
        <v>#N/A</v>
      </c>
      <c r="I37" s="7" t="e">
        <f>IF(L37=1,0,D42)</f>
        <v>#N/A</v>
      </c>
      <c r="J37" s="7" t="str">
        <f t="shared" si="6"/>
        <v/>
      </c>
      <c r="K37" s="7" t="str">
        <f>IF(E37="X",'Range Check'!L20,"")</f>
        <v/>
      </c>
      <c r="L37" s="7">
        <f t="shared" si="7"/>
        <v>29</v>
      </c>
      <c r="M37" s="7" t="str">
        <f t="shared" si="4"/>
        <v/>
      </c>
      <c r="N37" s="7" t="str">
        <f>'Range Check'!L25</f>
        <v/>
      </c>
    </row>
    <row r="38" spans="2:14" x14ac:dyDescent="0.25">
      <c r="B38" s="7" t="e">
        <f>VLOOKUP('Range Check'!L21,'Product Reference'!B:E,2,FALSE)</f>
        <v>#N/A</v>
      </c>
      <c r="C38" s="7" t="e">
        <f>VLOOKUP('Range Check'!L21,'Product Reference'!B:E,3,FALSE)</f>
        <v>#N/A</v>
      </c>
      <c r="D38" s="7" t="e">
        <f>VLOOKUP('Range Check'!L21,'Product Reference'!B:E,4,FALSE)</f>
        <v>#N/A</v>
      </c>
      <c r="E38" s="7">
        <f>'Range Check'!S21</f>
        <v>0</v>
      </c>
      <c r="G38" s="7" t="e">
        <f>B41</f>
        <v>#N/A</v>
      </c>
      <c r="H38" s="7" t="e">
        <f t="shared" ref="H38" si="18">C41</f>
        <v>#N/A</v>
      </c>
      <c r="I38" s="7" t="e">
        <f>IF(L38=1,0,D41)</f>
        <v>#N/A</v>
      </c>
      <c r="J38" s="7" t="str">
        <f t="shared" si="6"/>
        <v/>
      </c>
      <c r="K38" s="7" t="str">
        <f>IF(E38="X",'Range Check'!L21,"")</f>
        <v/>
      </c>
      <c r="L38" s="7">
        <f t="shared" si="7"/>
        <v>29</v>
      </c>
      <c r="M38" s="7" t="str">
        <f t="shared" si="4"/>
        <v/>
      </c>
      <c r="N38" s="7" t="str">
        <f>'Range Check'!L24</f>
        <v/>
      </c>
    </row>
    <row r="39" spans="2:14" x14ac:dyDescent="0.25">
      <c r="B39" s="7" t="e">
        <f>VLOOKUP('Range Check'!L22,'Product Reference'!B:E,2,FALSE)</f>
        <v>#N/A</v>
      </c>
      <c r="C39" s="7" t="e">
        <f>VLOOKUP('Range Check'!L22,'Product Reference'!B:E,3,FALSE)</f>
        <v>#N/A</v>
      </c>
      <c r="D39" s="7" t="e">
        <f>VLOOKUP('Range Check'!L22,'Product Reference'!B:E,4,FALSE)</f>
        <v>#N/A</v>
      </c>
      <c r="E39" s="7">
        <f>'Range Check'!S22</f>
        <v>0</v>
      </c>
      <c r="G39" s="7" t="e">
        <f>B40</f>
        <v>#N/A</v>
      </c>
      <c r="H39" s="7" t="e">
        <f t="shared" ref="H39" si="19">C40</f>
        <v>#N/A</v>
      </c>
      <c r="I39" s="7" t="e">
        <f>IF(L39=1,0,D40)</f>
        <v>#N/A</v>
      </c>
      <c r="J39" s="7" t="str">
        <f t="shared" si="6"/>
        <v/>
      </c>
      <c r="K39" s="7" t="str">
        <f>IF(E39="X",'Range Check'!L22,"")</f>
        <v/>
      </c>
      <c r="L39" s="7">
        <f t="shared" si="7"/>
        <v>29</v>
      </c>
      <c r="M39" s="7" t="str">
        <f t="shared" si="4"/>
        <v/>
      </c>
      <c r="N39" s="7" t="str">
        <f>'Range Check'!L23</f>
        <v/>
      </c>
    </row>
    <row r="40" spans="2:14" x14ac:dyDescent="0.25">
      <c r="B40" s="7" t="e">
        <f>VLOOKUP('Range Check'!L23,'Product Reference'!B:E,2,FALSE)</f>
        <v>#N/A</v>
      </c>
      <c r="C40" s="7" t="e">
        <f>VLOOKUP('Range Check'!L23,'Product Reference'!B:E,3,FALSE)</f>
        <v>#N/A</v>
      </c>
      <c r="D40" s="7" t="e">
        <f>VLOOKUP('Range Check'!L23,'Product Reference'!B:E,4,FALSE)</f>
        <v>#N/A</v>
      </c>
      <c r="E40" s="7">
        <f>'Range Check'!S23</f>
        <v>0</v>
      </c>
      <c r="G40" s="7" t="e">
        <f>B39</f>
        <v>#N/A</v>
      </c>
      <c r="H40" s="7" t="e">
        <f t="shared" ref="H40" si="20">C39</f>
        <v>#N/A</v>
      </c>
      <c r="I40" s="7" t="e">
        <f>IF(L40=1,0,D39)</f>
        <v>#N/A</v>
      </c>
      <c r="J40" s="7" t="str">
        <f t="shared" si="6"/>
        <v/>
      </c>
      <c r="K40" s="7" t="str">
        <f>IF(E40="X",'Range Check'!L23,"")</f>
        <v/>
      </c>
      <c r="L40" s="7">
        <f t="shared" si="7"/>
        <v>29</v>
      </c>
      <c r="M40" s="7" t="str">
        <f t="shared" si="4"/>
        <v/>
      </c>
      <c r="N40" s="7" t="str">
        <f>'Range Check'!L22</f>
        <v/>
      </c>
    </row>
    <row r="41" spans="2:14" x14ac:dyDescent="0.25">
      <c r="B41" s="7" t="e">
        <f>VLOOKUP('Range Check'!L24,'Product Reference'!B:E,2,FALSE)</f>
        <v>#N/A</v>
      </c>
      <c r="C41" s="7" t="e">
        <f>VLOOKUP('Range Check'!L24,'Product Reference'!B:E,3,FALSE)</f>
        <v>#N/A</v>
      </c>
      <c r="D41" s="7" t="e">
        <f>VLOOKUP('Range Check'!L24,'Product Reference'!B:E,4,FALSE)</f>
        <v>#N/A</v>
      </c>
      <c r="E41" s="7">
        <f>'Range Check'!S24</f>
        <v>0</v>
      </c>
      <c r="G41" s="7" t="e">
        <f>B38</f>
        <v>#N/A</v>
      </c>
      <c r="H41" s="7" t="e">
        <f t="shared" ref="H41" si="21">C38</f>
        <v>#N/A</v>
      </c>
      <c r="I41" s="7" t="e">
        <f>IF(L41=1,0,D38)</f>
        <v>#N/A</v>
      </c>
      <c r="J41" s="7" t="str">
        <f t="shared" si="6"/>
        <v/>
      </c>
      <c r="K41" s="7" t="str">
        <f>IF(E41="X",'Range Check'!L24,"")</f>
        <v/>
      </c>
      <c r="L41" s="7">
        <f t="shared" si="7"/>
        <v>29</v>
      </c>
      <c r="M41" s="7" t="str">
        <f t="shared" si="4"/>
        <v/>
      </c>
      <c r="N41" s="7" t="str">
        <f>'Range Check'!L21</f>
        <v/>
      </c>
    </row>
    <row r="42" spans="2:14" x14ac:dyDescent="0.25">
      <c r="B42" s="7" t="e">
        <f>VLOOKUP('Range Check'!L25,'Product Reference'!B:E,2,FALSE)</f>
        <v>#N/A</v>
      </c>
      <c r="C42" s="7" t="e">
        <f>VLOOKUP('Range Check'!L25,'Product Reference'!B:E,3,FALSE)</f>
        <v>#N/A</v>
      </c>
      <c r="D42" s="7" t="e">
        <f>VLOOKUP('Range Check'!L25,'Product Reference'!B:E,4,FALSE)</f>
        <v>#N/A</v>
      </c>
      <c r="E42" s="7">
        <f>'Range Check'!S25</f>
        <v>0</v>
      </c>
      <c r="G42" s="7" t="e">
        <f>B37</f>
        <v>#N/A</v>
      </c>
      <c r="H42" s="7" t="e">
        <f t="shared" ref="H42" si="22">C37</f>
        <v>#N/A</v>
      </c>
      <c r="I42" s="7" t="e">
        <f>IF(L42=1,0,D37)</f>
        <v>#N/A</v>
      </c>
      <c r="J42" s="7" t="str">
        <f t="shared" si="6"/>
        <v/>
      </c>
      <c r="K42" s="7" t="str">
        <f>IF(E42="X",'Range Check'!L25,"")</f>
        <v/>
      </c>
      <c r="L42" s="7">
        <f t="shared" si="7"/>
        <v>29</v>
      </c>
      <c r="M42" s="7" t="str">
        <f t="shared" si="4"/>
        <v/>
      </c>
      <c r="N42" s="7" t="str">
        <f>'Range Check'!L20</f>
        <v/>
      </c>
    </row>
    <row r="43" spans="2:14" x14ac:dyDescent="0.25">
      <c r="B43" s="7" t="e">
        <f>VLOOKUP('Range Check'!L26,'Product Reference'!B:E,2,FALSE)</f>
        <v>#N/A</v>
      </c>
      <c r="C43" s="7" t="e">
        <f>VLOOKUP('Range Check'!L26,'Product Reference'!B:E,3,FALSE)</f>
        <v>#N/A</v>
      </c>
      <c r="D43" s="7" t="e">
        <f>VLOOKUP('Range Check'!L26,'Product Reference'!B:E,4,FALSE)</f>
        <v>#N/A</v>
      </c>
      <c r="E43" s="7">
        <f>'Range Check'!S26</f>
        <v>0</v>
      </c>
      <c r="G43" s="7" t="e">
        <f>B36</f>
        <v>#N/A</v>
      </c>
      <c r="H43" s="7" t="e">
        <f t="shared" ref="H43" si="23">C36</f>
        <v>#N/A</v>
      </c>
      <c r="I43" s="7" t="e">
        <f>IF(L43=1,0,D36)</f>
        <v>#N/A</v>
      </c>
      <c r="J43" s="7" t="str">
        <f t="shared" si="6"/>
        <v/>
      </c>
      <c r="K43" s="7" t="str">
        <f>IF(E43="X",'Range Check'!L26,"")</f>
        <v/>
      </c>
      <c r="L43" s="7">
        <f t="shared" si="7"/>
        <v>29</v>
      </c>
      <c r="M43" s="7" t="str">
        <f t="shared" si="4"/>
        <v/>
      </c>
      <c r="N43" s="7" t="str">
        <f>'Range Check'!L19</f>
        <v/>
      </c>
    </row>
    <row r="44" spans="2:14" x14ac:dyDescent="0.25">
      <c r="B44" s="7" t="e">
        <f>VLOOKUP('Range Check'!L27,'Product Reference'!B:E,2,FALSE)</f>
        <v>#N/A</v>
      </c>
      <c r="C44" s="7" t="e">
        <f>VLOOKUP('Range Check'!L27,'Product Reference'!B:E,3,FALSE)</f>
        <v>#N/A</v>
      </c>
      <c r="D44" s="7" t="e">
        <f>VLOOKUP('Range Check'!L27,'Product Reference'!B:E,4,FALSE)</f>
        <v>#N/A</v>
      </c>
      <c r="E44" s="7">
        <f>'Range Check'!S27</f>
        <v>0</v>
      </c>
      <c r="G44" s="7" t="e">
        <f>B35</f>
        <v>#N/A</v>
      </c>
      <c r="H44" s="7" t="e">
        <f t="shared" ref="H44" si="24">C35</f>
        <v>#N/A</v>
      </c>
      <c r="I44" s="7" t="e">
        <f>IF(L44=1,0,D35)</f>
        <v>#N/A</v>
      </c>
      <c r="J44" s="7" t="str">
        <f t="shared" si="6"/>
        <v/>
      </c>
      <c r="K44" s="7" t="str">
        <f>IF(E44="X",'Range Check'!L27,"")</f>
        <v/>
      </c>
      <c r="L44" s="7">
        <f t="shared" si="7"/>
        <v>29</v>
      </c>
      <c r="M44" s="7" t="str">
        <f t="shared" si="4"/>
        <v/>
      </c>
      <c r="N44" s="7" t="str">
        <f>'Range Check'!L18</f>
        <v/>
      </c>
    </row>
    <row r="45" spans="2:14" x14ac:dyDescent="0.25">
      <c r="B45" s="7" t="e">
        <f>VLOOKUP('Range Check'!L28,'Product Reference'!B:E,2,FALSE)</f>
        <v>#N/A</v>
      </c>
      <c r="C45" s="7" t="e">
        <f>VLOOKUP('Range Check'!L28,'Product Reference'!B:E,3,FALSE)</f>
        <v>#N/A</v>
      </c>
      <c r="D45" s="7" t="e">
        <f>VLOOKUP('Range Check'!L28,'Product Reference'!B:E,4,FALSE)</f>
        <v>#N/A</v>
      </c>
      <c r="E45" s="7">
        <f>'Range Check'!S28</f>
        <v>0</v>
      </c>
      <c r="G45" s="7" t="e">
        <f>B34</f>
        <v>#N/A</v>
      </c>
      <c r="H45" s="7" t="e">
        <f t="shared" ref="H45" si="25">C34</f>
        <v>#N/A</v>
      </c>
      <c r="I45" s="7" t="e">
        <f>IF(L45=1,0,D34)</f>
        <v>#N/A</v>
      </c>
      <c r="J45" s="7" t="str">
        <f t="shared" si="6"/>
        <v/>
      </c>
      <c r="K45" s="7" t="str">
        <f>IF(E45="X",'Range Check'!L28,"")</f>
        <v/>
      </c>
      <c r="L45" s="7">
        <f t="shared" si="7"/>
        <v>29</v>
      </c>
      <c r="M45" s="7" t="str">
        <f t="shared" si="4"/>
        <v/>
      </c>
      <c r="N45" s="7" t="str">
        <f>'Range Check'!L17</f>
        <v/>
      </c>
    </row>
    <row r="46" spans="2:14" x14ac:dyDescent="0.25">
      <c r="B46" s="7" t="e">
        <f>VLOOKUP('Range Check'!L29,'Product Reference'!B:E,2,FALSE)</f>
        <v>#N/A</v>
      </c>
      <c r="C46" s="7" t="e">
        <f>VLOOKUP('Range Check'!L29,'Product Reference'!B:E,3,FALSE)</f>
        <v>#N/A</v>
      </c>
      <c r="D46" s="7" t="e">
        <f>VLOOKUP('Range Check'!L29,'Product Reference'!B:E,4,FALSE)</f>
        <v>#N/A</v>
      </c>
      <c r="E46" s="7">
        <f>'Range Check'!S29</f>
        <v>0</v>
      </c>
      <c r="G46" s="7" t="e">
        <f>B33</f>
        <v>#N/A</v>
      </c>
      <c r="H46" s="7" t="e">
        <f t="shared" ref="H46" si="26">C33</f>
        <v>#N/A</v>
      </c>
      <c r="I46" s="7" t="e">
        <f>IF(L46=1,0,D33)</f>
        <v>#N/A</v>
      </c>
      <c r="J46" s="7" t="str">
        <f t="shared" si="6"/>
        <v/>
      </c>
      <c r="K46" s="7" t="str">
        <f>IF(E46="X",'Range Check'!L29,"")</f>
        <v/>
      </c>
      <c r="L46" s="7">
        <f t="shared" si="7"/>
        <v>29</v>
      </c>
      <c r="M46" s="7" t="str">
        <f t="shared" si="4"/>
        <v/>
      </c>
      <c r="N46" s="7" t="str">
        <f>'Range Check'!L16</f>
        <v/>
      </c>
    </row>
    <row r="47" spans="2:14" x14ac:dyDescent="0.25">
      <c r="B47" s="7" t="e">
        <f>VLOOKUP('Range Check'!L30,'Product Reference'!B:E,2,FALSE)</f>
        <v>#N/A</v>
      </c>
      <c r="C47" s="7" t="e">
        <f>VLOOKUP('Range Check'!L30,'Product Reference'!B:E,3,FALSE)</f>
        <v>#N/A</v>
      </c>
      <c r="D47" s="7" t="e">
        <f>VLOOKUP('Range Check'!L30,'Product Reference'!B:E,4,FALSE)</f>
        <v>#N/A</v>
      </c>
      <c r="E47" s="7">
        <f>'Range Check'!S30</f>
        <v>0</v>
      </c>
      <c r="G47" s="7" t="e">
        <f>B32</f>
        <v>#N/A</v>
      </c>
      <c r="H47" s="7" t="e">
        <f t="shared" ref="H47" si="27">C32</f>
        <v>#N/A</v>
      </c>
      <c r="I47" s="7" t="e">
        <f>IF(L47=1,0,D32)</f>
        <v>#N/A</v>
      </c>
      <c r="J47" s="7" t="str">
        <f t="shared" si="6"/>
        <v/>
      </c>
      <c r="K47" s="7" t="str">
        <f>IF(E47="X",'Range Check'!L30,"")</f>
        <v/>
      </c>
      <c r="L47" s="7">
        <f t="shared" si="7"/>
        <v>29</v>
      </c>
      <c r="M47" s="7" t="str">
        <f t="shared" si="4"/>
        <v/>
      </c>
      <c r="N47" s="7" t="str">
        <f>'Range Check'!L15</f>
        <v/>
      </c>
    </row>
    <row r="48" spans="2:14" x14ac:dyDescent="0.25">
      <c r="B48" s="7" t="e">
        <f>VLOOKUP('Range Check'!L31,'Product Reference'!B:E,2,FALSE)</f>
        <v>#N/A</v>
      </c>
      <c r="C48" s="7" t="e">
        <f>VLOOKUP('Range Check'!L31,'Product Reference'!B:E,3,FALSE)</f>
        <v>#N/A</v>
      </c>
      <c r="D48" s="7" t="e">
        <f>VLOOKUP('Range Check'!L31,'Product Reference'!B:E,4,FALSE)</f>
        <v>#N/A</v>
      </c>
      <c r="E48" s="7">
        <f>'Range Check'!S31</f>
        <v>0</v>
      </c>
      <c r="G48" s="7" t="e">
        <f>B31</f>
        <v>#N/A</v>
      </c>
      <c r="H48" s="7" t="e">
        <f t="shared" ref="H48" si="28">C31</f>
        <v>#N/A</v>
      </c>
      <c r="I48" s="7" t="e">
        <f>IF(L48=1,0,D31)</f>
        <v>#N/A</v>
      </c>
      <c r="J48" s="7" t="str">
        <f t="shared" si="6"/>
        <v/>
      </c>
      <c r="K48" s="7" t="str">
        <f>IF(E48="X",'Range Check'!L31,"")</f>
        <v/>
      </c>
      <c r="L48" s="7">
        <f t="shared" si="7"/>
        <v>29</v>
      </c>
      <c r="M48" s="7" t="str">
        <f t="shared" si="4"/>
        <v/>
      </c>
      <c r="N48" s="7" t="str">
        <f>'Range Check'!L14</f>
        <v/>
      </c>
    </row>
    <row r="49" spans="2:14" x14ac:dyDescent="0.25">
      <c r="B49" s="7" t="e">
        <f>VLOOKUP('Range Check'!L32,'Product Reference'!B:E,2,FALSE)</f>
        <v>#N/A</v>
      </c>
      <c r="C49" s="7" t="e">
        <f>VLOOKUP('Range Check'!L32,'Product Reference'!B:E,3,FALSE)</f>
        <v>#N/A</v>
      </c>
      <c r="D49" s="7" t="e">
        <f>VLOOKUP('Range Check'!L32,'Product Reference'!B:E,4,FALSE)</f>
        <v>#N/A</v>
      </c>
      <c r="E49" s="7">
        <f>'Range Check'!S32</f>
        <v>0</v>
      </c>
      <c r="G49" s="7" t="e">
        <f>B30</f>
        <v>#N/A</v>
      </c>
      <c r="H49" s="7" t="e">
        <f t="shared" ref="H49" si="29">C30</f>
        <v>#N/A</v>
      </c>
      <c r="I49" s="7" t="e">
        <f>IF(L49=1,0,D30)</f>
        <v>#N/A</v>
      </c>
      <c r="J49" s="7" t="str">
        <f t="shared" si="6"/>
        <v/>
      </c>
      <c r="K49" s="7" t="str">
        <f>IF(E49="X",'Range Check'!L32,"")</f>
        <v/>
      </c>
      <c r="L49" s="7">
        <f t="shared" si="7"/>
        <v>29</v>
      </c>
      <c r="M49" s="7" t="str">
        <f t="shared" si="4"/>
        <v/>
      </c>
      <c r="N49" s="7" t="str">
        <f>'Range Check'!L13</f>
        <v/>
      </c>
    </row>
    <row r="50" spans="2:14" x14ac:dyDescent="0.25">
      <c r="B50" s="7" t="e">
        <f>VLOOKUP('Range Check'!L33,'Product Reference'!B:E,2,FALSE)</f>
        <v>#N/A</v>
      </c>
      <c r="C50" s="7" t="e">
        <f>VLOOKUP('Range Check'!L33,'Product Reference'!B:E,3,FALSE)</f>
        <v>#N/A</v>
      </c>
      <c r="D50" s="7" t="e">
        <f>VLOOKUP('Range Check'!L33,'Product Reference'!B:E,4,FALSE)</f>
        <v>#N/A</v>
      </c>
      <c r="E50" s="7">
        <f>'Range Check'!S33</f>
        <v>0</v>
      </c>
      <c r="G50" s="7" t="e">
        <f>B29</f>
        <v>#N/A</v>
      </c>
      <c r="H50" s="7" t="e">
        <f t="shared" ref="H50" si="30">C29</f>
        <v>#N/A</v>
      </c>
      <c r="I50" s="7" t="e">
        <f>IF(L50=1,0,D29)</f>
        <v>#N/A</v>
      </c>
      <c r="J50" s="7" t="str">
        <f t="shared" si="6"/>
        <v/>
      </c>
      <c r="K50" s="7" t="str">
        <f>IF(E50="X",'Range Check'!L33,"")</f>
        <v/>
      </c>
      <c r="L50" s="7">
        <f t="shared" si="7"/>
        <v>29</v>
      </c>
      <c r="M50" s="7" t="str">
        <f t="shared" si="4"/>
        <v/>
      </c>
      <c r="N50" s="7" t="str">
        <f>'Range Check'!L12</f>
        <v/>
      </c>
    </row>
    <row r="51" spans="2:14" x14ac:dyDescent="0.25">
      <c r="B51" s="7" t="e">
        <f>VLOOKUP('Range Check'!L34,'Product Reference'!B:E,2,FALSE)</f>
        <v>#N/A</v>
      </c>
      <c r="C51" s="7" t="e">
        <f>VLOOKUP('Range Check'!L34,'Product Reference'!B:E,3,FALSE)</f>
        <v>#N/A</v>
      </c>
      <c r="D51" s="7" t="e">
        <f>VLOOKUP('Range Check'!L34,'Product Reference'!B:E,4,FALSE)</f>
        <v>#N/A</v>
      </c>
      <c r="E51" s="7">
        <f>'Range Check'!S34</f>
        <v>0</v>
      </c>
      <c r="G51" s="7" t="e">
        <f>B28</f>
        <v>#N/A</v>
      </c>
      <c r="H51" s="7" t="e">
        <f t="shared" ref="H51" si="31">C28</f>
        <v>#N/A</v>
      </c>
      <c r="I51" s="7" t="e">
        <f>IF(L51=1,0,D28)</f>
        <v>#N/A</v>
      </c>
      <c r="J51" s="7" t="str">
        <f t="shared" si="6"/>
        <v/>
      </c>
      <c r="K51" s="7" t="str">
        <f>IF(E51="X",'Range Check'!L34,"")</f>
        <v/>
      </c>
      <c r="L51" s="7">
        <f t="shared" si="7"/>
        <v>29</v>
      </c>
      <c r="M51" s="7" t="str">
        <f t="shared" si="4"/>
        <v/>
      </c>
      <c r="N51" s="7" t="str">
        <f>'Range Check'!L11</f>
        <v/>
      </c>
    </row>
    <row r="52" spans="2:14" x14ac:dyDescent="0.25">
      <c r="B52" s="7" t="e">
        <f>VLOOKUP('Range Check'!L35,'Product Reference'!B:E,2,FALSE)</f>
        <v>#N/A</v>
      </c>
      <c r="C52" s="7" t="e">
        <f>VLOOKUP('Range Check'!L35,'Product Reference'!B:E,3,FALSE)</f>
        <v>#N/A</v>
      </c>
      <c r="D52" s="7" t="e">
        <f>VLOOKUP('Range Check'!L35,'Product Reference'!B:E,4,FALSE)</f>
        <v>#N/A</v>
      </c>
      <c r="E52" s="7">
        <f>'Range Check'!S35</f>
        <v>0</v>
      </c>
      <c r="G52" s="7" t="e">
        <f>B27</f>
        <v>#N/A</v>
      </c>
      <c r="H52" s="7" t="e">
        <f t="shared" ref="H52" si="32">C27</f>
        <v>#N/A</v>
      </c>
      <c r="I52" s="7" t="e">
        <f>IF(L52=1,0,D27)</f>
        <v>#N/A</v>
      </c>
      <c r="J52" s="7" t="str">
        <f t="shared" si="6"/>
        <v/>
      </c>
      <c r="K52" s="7" t="str">
        <f>IF(E52="X",'Range Check'!L35,"")</f>
        <v/>
      </c>
      <c r="L52" s="7">
        <f t="shared" si="7"/>
        <v>29</v>
      </c>
      <c r="M52" s="7" t="str">
        <f t="shared" si="4"/>
        <v/>
      </c>
      <c r="N52" s="7" t="str">
        <f>'Range Check'!L10</f>
        <v/>
      </c>
    </row>
    <row r="53" spans="2:14" x14ac:dyDescent="0.25">
      <c r="B53" s="7" t="e">
        <f>VLOOKUP('Range Check'!L36,'Product Reference'!B:E,2,FALSE)</f>
        <v>#N/A</v>
      </c>
      <c r="C53" s="7" t="e">
        <f>VLOOKUP('Range Check'!L36,'Product Reference'!B:E,3,FALSE)</f>
        <v>#N/A</v>
      </c>
      <c r="D53" s="7" t="e">
        <f>VLOOKUP('Range Check'!L36,'Product Reference'!B:E,4,FALSE)</f>
        <v>#N/A</v>
      </c>
      <c r="E53" s="7">
        <f>'Range Check'!S36</f>
        <v>0</v>
      </c>
      <c r="G53" s="7" t="e">
        <f>B26</f>
        <v>#N/A</v>
      </c>
      <c r="H53" s="7" t="e">
        <f t="shared" ref="H53" si="33">C26</f>
        <v>#N/A</v>
      </c>
      <c r="I53" s="7" t="e">
        <f>IF(L53=1,0,D26)</f>
        <v>#N/A</v>
      </c>
      <c r="J53" s="7" t="str">
        <f t="shared" si="6"/>
        <v/>
      </c>
      <c r="K53" s="7" t="str">
        <f>IF(E53="X",'Range Check'!L36,"")</f>
        <v/>
      </c>
      <c r="L53" s="7">
        <f t="shared" si="7"/>
        <v>29</v>
      </c>
      <c r="M53" s="7" t="str">
        <f t="shared" si="4"/>
        <v/>
      </c>
      <c r="N53" s="7" t="str">
        <f>'Range Check'!L9</f>
        <v/>
      </c>
    </row>
    <row r="54" spans="2:14" x14ac:dyDescent="0.25">
      <c r="B54" s="7" t="e">
        <f>VLOOKUP('Range Check'!L37,'Product Reference'!B:E,2,FALSE)</f>
        <v>#N/A</v>
      </c>
      <c r="C54" s="7" t="e">
        <f>VLOOKUP('Range Check'!L37,'Product Reference'!B:E,3,FALSE)</f>
        <v>#N/A</v>
      </c>
      <c r="D54" s="7" t="e">
        <f>VLOOKUP('Range Check'!L37,'Product Reference'!B:E,4,FALSE)</f>
        <v>#N/A</v>
      </c>
      <c r="E54" s="7">
        <f>'Range Check'!S37</f>
        <v>0</v>
      </c>
      <c r="G54" s="7" t="e">
        <f>B25</f>
        <v>#N/A</v>
      </c>
      <c r="H54" s="7" t="e">
        <f t="shared" ref="H54" si="34">C25</f>
        <v>#N/A</v>
      </c>
      <c r="I54" s="7">
        <f>IF(L54=1,0,D25)</f>
        <v>0</v>
      </c>
      <c r="J54" s="7" t="str">
        <f t="shared" si="6"/>
        <v/>
      </c>
      <c r="K54" s="7" t="str">
        <f>IF(E54="X",'Range Check'!L37,"")</f>
        <v/>
      </c>
      <c r="L54" s="7">
        <f>COUNTIF($K$25:$K$54,N54)</f>
        <v>1</v>
      </c>
      <c r="M54" s="7" t="str">
        <f t="shared" si="4"/>
        <v/>
      </c>
      <c r="N54" s="7">
        <f>'Range Check'!L8</f>
        <v>0</v>
      </c>
    </row>
    <row r="55" spans="2:14" s="9" customFormat="1" x14ac:dyDescent="0.25"/>
  </sheetData>
  <mergeCells count="1">
    <mergeCell ref="F3:F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zoomScale="85" zoomScaleNormal="85" workbookViewId="0">
      <pane xSplit="1" topLeftCell="B1" activePane="topRight" state="frozen"/>
      <selection pane="topRight" activeCell="P26" sqref="P26"/>
    </sheetView>
  </sheetViews>
  <sheetFormatPr defaultColWidth="8.85546875" defaultRowHeight="15" x14ac:dyDescent="0.25"/>
  <cols>
    <col min="1" max="1" width="21.42578125" style="5" customWidth="1"/>
    <col min="2" max="11" width="8.85546875" style="5"/>
    <col min="12" max="12" width="9.7109375" style="5" customWidth="1"/>
    <col min="13" max="13" width="8.85546875" style="5" customWidth="1"/>
    <col min="14" max="14" width="21.28515625" style="5" customWidth="1"/>
    <col min="15" max="15" width="8.85546875" style="5"/>
    <col min="16" max="16" width="38.7109375" style="5" customWidth="1"/>
    <col min="17" max="18" width="18" style="5" customWidth="1"/>
    <col min="19" max="19" width="8.85546875" style="5"/>
    <col min="20" max="21" width="23.28515625" style="5" customWidth="1"/>
    <col min="22" max="23" width="28.42578125" style="5" customWidth="1"/>
    <col min="24" max="24" width="19.7109375" style="5" customWidth="1"/>
    <col min="25" max="16384" width="8.85546875" style="5"/>
  </cols>
  <sheetData>
    <row r="1" spans="1:26" x14ac:dyDescent="0.25">
      <c r="B1" s="5" t="s">
        <v>63</v>
      </c>
      <c r="C1" s="5" t="s">
        <v>15</v>
      </c>
      <c r="D1" s="5" t="s">
        <v>17</v>
      </c>
      <c r="E1" s="5" t="s">
        <v>19</v>
      </c>
      <c r="F1" s="5" t="s">
        <v>22</v>
      </c>
      <c r="G1" s="5" t="s">
        <v>23</v>
      </c>
      <c r="H1" s="5" t="s">
        <v>24</v>
      </c>
      <c r="I1" s="5" t="s">
        <v>25</v>
      </c>
      <c r="J1" s="5" t="s">
        <v>26</v>
      </c>
      <c r="K1" s="5" t="s">
        <v>27</v>
      </c>
      <c r="L1" s="4" t="s">
        <v>2</v>
      </c>
      <c r="M1" s="4" t="s">
        <v>128</v>
      </c>
      <c r="N1" s="4" t="s">
        <v>129</v>
      </c>
      <c r="O1" s="4" t="s">
        <v>120</v>
      </c>
      <c r="P1" s="4" t="s">
        <v>122</v>
      </c>
      <c r="Q1" s="4" t="s">
        <v>121</v>
      </c>
      <c r="R1" s="4" t="s">
        <v>123</v>
      </c>
      <c r="S1" s="4" t="s">
        <v>29</v>
      </c>
      <c r="T1" s="4" t="s">
        <v>133</v>
      </c>
      <c r="U1" s="4" t="s">
        <v>134</v>
      </c>
      <c r="V1" s="4" t="s">
        <v>132</v>
      </c>
      <c r="W1" s="4" t="s">
        <v>312</v>
      </c>
      <c r="X1" s="4" t="s">
        <v>153</v>
      </c>
      <c r="Y1" s="4" t="s">
        <v>155</v>
      </c>
      <c r="Z1" s="4" t="s">
        <v>154</v>
      </c>
    </row>
    <row r="2" spans="1:26" x14ac:dyDescent="0.25">
      <c r="A2" s="5" t="s">
        <v>61</v>
      </c>
      <c r="B2" s="5">
        <f>'Mainstream Wet-Led'!D6</f>
        <v>6</v>
      </c>
      <c r="C2" s="5">
        <f>'Mainstream Wet-Led'!D9</f>
        <v>2</v>
      </c>
      <c r="D2" s="5">
        <f>'Mainstream Wet-Led'!D10</f>
        <v>3</v>
      </c>
      <c r="E2" s="5">
        <f>'Mainstream Wet-Led'!D11</f>
        <v>1</v>
      </c>
      <c r="F2" s="5">
        <f>'Mainstream Wet-Led'!D14</f>
        <v>3</v>
      </c>
      <c r="G2" s="5">
        <f>'Mainstream Wet-Led'!D15</f>
        <v>1</v>
      </c>
      <c r="H2" s="5">
        <f>'Mainstream Wet-Led'!D16</f>
        <v>0</v>
      </c>
      <c r="I2" s="5">
        <f>'Mainstream Wet-Led'!D17</f>
        <v>0</v>
      </c>
      <c r="J2" s="5">
        <f>'Mainstream Wet-Led'!D18</f>
        <v>0</v>
      </c>
      <c r="K2" s="5">
        <f>'Mainstream Wet-Led'!D19</f>
        <v>2</v>
      </c>
      <c r="L2" s="5" t="e">
        <f>VLOOKUP(VLOOKUP('Range Check'!L4,'Lookup Table (Text to be added)'!A1:Y5,24,FALSE),'Lookup Table (Text to be added)'!A13:P17,16,FALSE)&amp;" "&amp;'Mainstream Wet-Led'!C29</f>
        <v>#N/A</v>
      </c>
      <c r="M2" s="5" t="e">
        <f>'Mainstream Wet-Led'!G30</f>
        <v>#DIV/0!</v>
      </c>
      <c r="N2" s="5" t="e">
        <f>TEXT('Mainstream Wet-Led'!R27,"0%")&amp;": "&amp;VLOOKUP(VLOOKUP('Range Check'!L4,'Lookup Table (Text to be added)'!A1:Y5,25,FALSE),'Lookup Table (Text to be added)'!A25:P35,16,FALSE)</f>
        <v>#N/A</v>
      </c>
      <c r="O2" s="5" t="str">
        <f>IFERROR('Mainstream Wet-Led'!C78,"None")</f>
        <v>None</v>
      </c>
      <c r="P2" s="5" t="str">
        <f>IFERROR('Mainstream Wet-Led'!C82,"None")</f>
        <v>None</v>
      </c>
      <c r="Q2" s="5" t="str">
        <f>IFERROR('Mainstream Wet-Led'!C79,"None")</f>
        <v>None</v>
      </c>
      <c r="R2" s="5" t="str">
        <f>IFERROR('Mainstream Wet-Led'!C83,"None")</f>
        <v>None</v>
      </c>
      <c r="S2" s="5" t="e">
        <f>'Mainstream Wet-Led'!G81</f>
        <v>#DIV/0!</v>
      </c>
      <c r="T2" s="5" t="str">
        <f>'Mainstream Wet-Led'!L100</f>
        <v>🍋 (£££)｜Plymouth Gin</v>
      </c>
      <c r="U2" s="5" t="str">
        <f>'Mainstream Wet-Led'!L101</f>
        <v>🍓 (££)｜Whitley Neill Rhubarb &amp; Ginger Gin</v>
      </c>
      <c r="V2" s="5" t="str">
        <f>'Mainstream Wet-Led'!P100</f>
        <v>None</v>
      </c>
      <c r="W2" s="5" t="str">
        <f>'Mainstream Wet-Led'!P101</f>
        <v>None</v>
      </c>
      <c r="X2" s="5" t="str">
        <f>'Mainstream Wet-Led'!C28</f>
        <v>SIZESMALL</v>
      </c>
      <c r="Y2" s="5" t="str">
        <f>'Mainstream Wet-Led'!R28</f>
        <v>FLAV30</v>
      </c>
      <c r="Z2" s="5" t="str">
        <f>TEXT('Mainstream Wet-Led'!R27,"0%")</f>
        <v>0%</v>
      </c>
    </row>
    <row r="3" spans="1:26" x14ac:dyDescent="0.25">
      <c r="A3" s="5" t="s">
        <v>127</v>
      </c>
      <c r="B3" s="5">
        <f>'Mainstream Food-Led'!D6</f>
        <v>7</v>
      </c>
      <c r="C3" s="5">
        <f>'Mainstream Food-Led'!D9</f>
        <v>2</v>
      </c>
      <c r="D3" s="5">
        <f>'Mainstream Food-Led'!D10</f>
        <v>3</v>
      </c>
      <c r="E3" s="5">
        <f>'Mainstream Food-Led'!D11</f>
        <v>2</v>
      </c>
      <c r="F3" s="5">
        <f>'Mainstream Food-Led'!D14</f>
        <v>3</v>
      </c>
      <c r="G3" s="5">
        <f>'Mainstream Food-Led'!D15</f>
        <v>1</v>
      </c>
      <c r="H3" s="5">
        <f>'Mainstream Food-Led'!D16</f>
        <v>0</v>
      </c>
      <c r="I3" s="5">
        <f>'Mainstream Food-Led'!D17</f>
        <v>0</v>
      </c>
      <c r="J3" s="5">
        <f>'Mainstream Food-Led'!D18</f>
        <v>1</v>
      </c>
      <c r="K3" s="5">
        <f>'Mainstream Food-Led'!D19</f>
        <v>2</v>
      </c>
      <c r="L3" s="5" t="e">
        <f>VLOOKUP(VLOOKUP('Range Check'!L4,'Lookup Table (Text to be added)'!A1:Y5,24,FALSE),'Lookup Table (Text to be added)'!A13:P17,16,FALSE)&amp;" "&amp;'Mainstream Food-Led'!C29</f>
        <v>#N/A</v>
      </c>
      <c r="M3" s="5" t="e">
        <f>'Mainstream Food-Led'!G30</f>
        <v>#DIV/0!</v>
      </c>
      <c r="N3" s="5" t="e">
        <f>TEXT('Mainstream Food-Led'!R27,"0%")&amp;": "&amp;VLOOKUP(VLOOKUP('Range Check'!L4,'Lookup Table (Text to be added)'!A1:Y5,25,FALSE),'Lookup Table (Text to be added)'!A25:P35,16,FALSE)</f>
        <v>#N/A</v>
      </c>
      <c r="O3" s="5" t="str">
        <f>IFERROR('Mainstream Food-Led'!C78,"None")</f>
        <v>None</v>
      </c>
      <c r="P3" s="5" t="str">
        <f>IFERROR('Mainstream Food-Led'!C82,"None")</f>
        <v>None</v>
      </c>
      <c r="Q3" s="5" t="str">
        <f>IFERROR('Mainstream Food-Led'!C79,"None")</f>
        <v>None</v>
      </c>
      <c r="R3" s="5" t="str">
        <f>IFERROR('Mainstream Food-Led'!C83,"None")</f>
        <v>None</v>
      </c>
      <c r="S3" s="5" t="e">
        <f>'Mainstream Food-Led'!G81</f>
        <v>#DIV/0!</v>
      </c>
      <c r="T3" s="5" t="str">
        <f>'Mainstream Food-Led'!L100</f>
        <v>✿  (£££)｜Hendrick's Gin</v>
      </c>
      <c r="U3" s="5" t="str">
        <f>'Mainstream Food-Led'!L101</f>
        <v>🍋 (£££)｜Plymouth Gin</v>
      </c>
      <c r="V3" s="5" t="str">
        <f>'Mainstream Food-Led'!P100</f>
        <v>None</v>
      </c>
      <c r="W3" s="5" t="str">
        <f>'Mainstream Food-Led'!P101</f>
        <v>None</v>
      </c>
      <c r="X3" s="5" t="str">
        <f>'Mainstream Food-Led'!C28</f>
        <v>SIZESMALL</v>
      </c>
      <c r="Y3" s="5" t="str">
        <f>'Mainstream Food-Led'!R28</f>
        <v>FLAV30</v>
      </c>
      <c r="Z3" s="5" t="str">
        <f>TEXT('Mainstream Food-Led'!R27,"0%")</f>
        <v>0%</v>
      </c>
    </row>
    <row r="4" spans="1:26" x14ac:dyDescent="0.25">
      <c r="A4" s="5" t="s">
        <v>14</v>
      </c>
      <c r="B4" s="5">
        <f>'Premium Wet-Led'!D6</f>
        <v>10</v>
      </c>
      <c r="C4" s="5">
        <f>'Premium Wet-Led'!D9</f>
        <v>2</v>
      </c>
      <c r="D4" s="5">
        <f>'Premium Wet-Led'!D10</f>
        <v>3</v>
      </c>
      <c r="E4" s="5">
        <f>'Premium Wet-Led'!D11</f>
        <v>5</v>
      </c>
      <c r="F4" s="5">
        <f>'Premium Wet-Led'!D14</f>
        <v>3</v>
      </c>
      <c r="G4" s="5">
        <f>'Premium Wet-Led'!D15</f>
        <v>2</v>
      </c>
      <c r="H4" s="5">
        <f>'Premium Wet-Led'!D16</f>
        <v>0</v>
      </c>
      <c r="I4" s="5">
        <f>'Premium Wet-Led'!D17</f>
        <v>1</v>
      </c>
      <c r="J4" s="5">
        <f>'Premium Wet-Led'!D18</f>
        <v>1</v>
      </c>
      <c r="K4" s="5">
        <f>'Premium Wet-Led'!D19</f>
        <v>3</v>
      </c>
      <c r="L4" s="5" t="e">
        <f>VLOOKUP(VLOOKUP('Range Check'!L4,'Lookup Table (Text to be added)'!A1:Y5,24,FALSE),'Lookup Table (Text to be added)'!A13:P17,16,FALSE)&amp;" "&amp;'Premium Wet-Led'!C29</f>
        <v>#N/A</v>
      </c>
      <c r="M4" s="5" t="e">
        <f>'Premium Wet-Led'!G30</f>
        <v>#DIV/0!</v>
      </c>
      <c r="N4" s="5" t="e">
        <f>TEXT('Premium Wet-Led'!R27,"0%")&amp;": "&amp;VLOOKUP(VLOOKUP('Range Check'!L4,'Lookup Table (Text to be added)'!A1:Y5,25,FALSE),'Lookup Table (Text to be added)'!A25:P35,16,FALSE)</f>
        <v>#N/A</v>
      </c>
      <c r="O4" s="5" t="str">
        <f>IFERROR('Premium Wet-Led'!C78,"None")</f>
        <v>None</v>
      </c>
      <c r="P4" s="5" t="str">
        <f>IFERROR('Premium Wet-Led'!C82,"None")</f>
        <v>None</v>
      </c>
      <c r="Q4" s="5" t="str">
        <f>IFERROR('Premium Wet-Led'!C79,"None")</f>
        <v>None</v>
      </c>
      <c r="R4" s="5" t="str">
        <f>IFERROR('Premium Wet-Led'!C83,"None")</f>
        <v>None</v>
      </c>
      <c r="S4" s="5" t="e">
        <f>'Premium Wet-Led'!G81</f>
        <v>#DIV/0!</v>
      </c>
      <c r="T4" s="5" t="str">
        <f>'Premium Wet-Led'!L100</f>
        <v>✿  (£££)｜Hendrick's Gin</v>
      </c>
      <c r="U4" s="5" t="str">
        <f>'Premium Wet-Led'!L101</f>
        <v>🍋 (£££)｜Plymouth Gin</v>
      </c>
      <c r="V4" s="5" t="str">
        <f>'Premium Wet-Led'!P100</f>
        <v>None</v>
      </c>
      <c r="W4" s="5" t="str">
        <f>'Premium Wet-Led'!P101</f>
        <v>None</v>
      </c>
      <c r="X4" s="5" t="str">
        <f>'Premium Wet-Led'!C28</f>
        <v>SIZESMALL</v>
      </c>
      <c r="Y4" s="5" t="str">
        <f>'Premium Wet-Led'!R28</f>
        <v>FLAV30</v>
      </c>
      <c r="Z4" s="5" t="str">
        <f>TEXT('Premium Wet-Led'!R27,"0%")</f>
        <v>0%</v>
      </c>
    </row>
    <row r="5" spans="1:26" x14ac:dyDescent="0.25">
      <c r="A5" s="5" t="s">
        <v>18</v>
      </c>
      <c r="B5" s="5">
        <f>'Premium Food-Led'!D6</f>
        <v>11</v>
      </c>
      <c r="C5" s="5">
        <f>'Premium Food-Led'!D9</f>
        <v>2</v>
      </c>
      <c r="D5" s="5">
        <f>'Premium Food-Led'!D10</f>
        <v>4</v>
      </c>
      <c r="E5" s="5">
        <f>'Premium Food-Led'!D11</f>
        <v>5</v>
      </c>
      <c r="F5" s="5">
        <f>'Premium Food-Led'!D14</f>
        <v>3</v>
      </c>
      <c r="G5" s="5">
        <f>'Premium Food-Led'!D15</f>
        <v>3</v>
      </c>
      <c r="H5" s="5">
        <f>'Premium Food-Led'!D16</f>
        <v>0</v>
      </c>
      <c r="I5" s="5">
        <f>'Premium Food-Led'!D17</f>
        <v>1</v>
      </c>
      <c r="J5" s="5">
        <f>'Premium Food-Led'!D18</f>
        <v>1</v>
      </c>
      <c r="K5" s="5">
        <f>'Premium Food-Led'!D19</f>
        <v>3</v>
      </c>
      <c r="L5" s="5" t="e">
        <f>VLOOKUP(VLOOKUP('Range Check'!L4,'Lookup Table (Text to be added)'!A1:Y5,24,FALSE),'Lookup Table (Text to be added)'!A13:P17,16,FALSE)&amp;" "&amp;'Premium Food-Led'!C29</f>
        <v>#N/A</v>
      </c>
      <c r="M5" s="5" t="e">
        <f>'Premium Food-Led'!G30</f>
        <v>#DIV/0!</v>
      </c>
      <c r="N5" s="5" t="e">
        <f>TEXT('Premium Food-Led'!R27,"0%")&amp;": "&amp;VLOOKUP(VLOOKUP('Range Check'!L4,'Lookup Table (Text to be added)'!A1:Y5,25,FALSE),'Lookup Table (Text to be added)'!A25:P35,16,FALSE)</f>
        <v>#N/A</v>
      </c>
      <c r="O5" s="5" t="str">
        <f>IFERROR('Premium Food-Led'!C78,"None")</f>
        <v>None</v>
      </c>
      <c r="P5" s="5" t="str">
        <f>IFERROR('Premium Food-Led'!C82,"None")</f>
        <v>None</v>
      </c>
      <c r="Q5" s="5" t="str">
        <f>IFERROR('Premium Food-Led'!C79,"None")</f>
        <v>None</v>
      </c>
      <c r="R5" s="5" t="str">
        <f>IFERROR('Premium Food-Led'!C83,"None")</f>
        <v>None</v>
      </c>
      <c r="S5" s="5" t="e">
        <f>'Premium Food-Led'!G81</f>
        <v>#DIV/0!</v>
      </c>
      <c r="T5" s="5" t="str">
        <f>'Premium Food-Led'!L100</f>
        <v>✿  (£££)｜Hendrick's Gin</v>
      </c>
      <c r="U5" s="5" t="str">
        <f>'Premium Food-Led'!L101</f>
        <v>🍋 (£££)｜Plymouth Gin</v>
      </c>
      <c r="V5" s="5" t="str">
        <f>'Premium Food-Led'!P100</f>
        <v>None</v>
      </c>
      <c r="W5" s="5" t="str">
        <f>'Premium Food-Led'!P101</f>
        <v>None</v>
      </c>
      <c r="X5" s="5" t="str">
        <f>'Premium Food-Led'!C28</f>
        <v>SIZESMALL</v>
      </c>
      <c r="Y5" s="5" t="str">
        <f>'Premium Food-Led'!R28</f>
        <v>FLAV30</v>
      </c>
      <c r="Z5" s="5" t="str">
        <f>TEXT('Premium Food-Led'!R27,"0%")</f>
        <v>0%</v>
      </c>
    </row>
    <row r="6" spans="1:26" x14ac:dyDescent="0.25">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v>20</v>
      </c>
      <c r="U6" s="5">
        <v>21</v>
      </c>
      <c r="V6" s="5">
        <v>22</v>
      </c>
      <c r="W6" s="5">
        <v>23</v>
      </c>
      <c r="X6" s="5">
        <v>24</v>
      </c>
      <c r="Y6" s="5">
        <v>25</v>
      </c>
      <c r="Z6" s="5">
        <v>26</v>
      </c>
    </row>
    <row r="7" spans="1:26" x14ac:dyDescent="0.25">
      <c r="A7" s="4" t="s">
        <v>175</v>
      </c>
      <c r="P7" s="52" t="s">
        <v>156</v>
      </c>
    </row>
    <row r="8" spans="1:26" x14ac:dyDescent="0.25">
      <c r="P8" s="53"/>
    </row>
    <row r="9" spans="1:26" x14ac:dyDescent="0.25">
      <c r="A9" s="5" t="s">
        <v>102</v>
      </c>
      <c r="B9" s="5" t="s">
        <v>150</v>
      </c>
      <c r="C9" s="54" t="s">
        <v>474</v>
      </c>
      <c r="P9" s="55" t="s">
        <v>192</v>
      </c>
      <c r="U9" s="5">
        <f>LEN(C9)</f>
        <v>219</v>
      </c>
    </row>
    <row r="10" spans="1:26" x14ac:dyDescent="0.25">
      <c r="A10" s="5" t="s">
        <v>103</v>
      </c>
      <c r="B10" s="5" t="s">
        <v>151</v>
      </c>
      <c r="C10" s="54" t="s">
        <v>475</v>
      </c>
      <c r="P10" s="55" t="s">
        <v>193</v>
      </c>
      <c r="U10" s="5">
        <f t="shared" ref="U10:U29" si="0">LEN(C10)</f>
        <v>204</v>
      </c>
    </row>
    <row r="11" spans="1:26" x14ac:dyDescent="0.25">
      <c r="A11" s="5" t="s">
        <v>104</v>
      </c>
      <c r="B11" s="5" t="s">
        <v>152</v>
      </c>
      <c r="C11" s="54" t="s">
        <v>476</v>
      </c>
      <c r="P11" s="55" t="s">
        <v>191</v>
      </c>
      <c r="U11" s="5">
        <f t="shared" si="0"/>
        <v>224</v>
      </c>
    </row>
    <row r="13" spans="1:26" x14ac:dyDescent="0.25">
      <c r="A13" s="5" t="s">
        <v>311</v>
      </c>
      <c r="B13" s="5" t="s">
        <v>137</v>
      </c>
      <c r="C13" s="54" t="s">
        <v>477</v>
      </c>
      <c r="P13" s="55" t="s">
        <v>177</v>
      </c>
      <c r="U13" s="5">
        <f t="shared" si="0"/>
        <v>254</v>
      </c>
    </row>
    <row r="14" spans="1:26" x14ac:dyDescent="0.25">
      <c r="A14" s="5" t="s">
        <v>66</v>
      </c>
      <c r="B14" s="5" t="s">
        <v>139</v>
      </c>
      <c r="C14" s="54" t="s">
        <v>478</v>
      </c>
      <c r="P14" s="55" t="s">
        <v>179</v>
      </c>
      <c r="U14" s="5">
        <f t="shared" si="0"/>
        <v>209</v>
      </c>
    </row>
    <row r="15" spans="1:26" x14ac:dyDescent="0.25">
      <c r="A15" s="5" t="s">
        <v>67</v>
      </c>
      <c r="B15" s="5" t="s">
        <v>138</v>
      </c>
      <c r="C15" s="54" t="s">
        <v>479</v>
      </c>
      <c r="P15" s="55" t="s">
        <v>180</v>
      </c>
      <c r="U15" s="5">
        <f t="shared" si="0"/>
        <v>215</v>
      </c>
    </row>
    <row r="16" spans="1:26" x14ac:dyDescent="0.25">
      <c r="A16" s="5" t="s">
        <v>69</v>
      </c>
      <c r="B16" s="5" t="s">
        <v>157</v>
      </c>
      <c r="C16" s="54" t="s">
        <v>480</v>
      </c>
      <c r="P16" s="55" t="s">
        <v>176</v>
      </c>
      <c r="U16" s="5">
        <f t="shared" si="0"/>
        <v>240</v>
      </c>
    </row>
    <row r="17" spans="1:21" x14ac:dyDescent="0.25">
      <c r="A17" s="5" t="s">
        <v>68</v>
      </c>
      <c r="B17" s="5" t="s">
        <v>140</v>
      </c>
      <c r="C17" s="54" t="s">
        <v>481</v>
      </c>
      <c r="P17" s="55" t="s">
        <v>178</v>
      </c>
      <c r="U17" s="5">
        <f t="shared" si="0"/>
        <v>235</v>
      </c>
    </row>
    <row r="18" spans="1:21" x14ac:dyDescent="0.25">
      <c r="C18" s="56"/>
      <c r="P18" s="57"/>
      <c r="U18" s="5">
        <f t="shared" si="0"/>
        <v>0</v>
      </c>
    </row>
    <row r="19" spans="1:21" x14ac:dyDescent="0.25">
      <c r="A19" s="5" t="s">
        <v>80</v>
      </c>
      <c r="B19" s="5" t="s">
        <v>141</v>
      </c>
      <c r="C19" s="54" t="s">
        <v>482</v>
      </c>
      <c r="P19" s="55" t="s">
        <v>182</v>
      </c>
      <c r="U19" s="5">
        <f t="shared" si="0"/>
        <v>255</v>
      </c>
    </row>
    <row r="20" spans="1:21" x14ac:dyDescent="0.25">
      <c r="A20" s="5" t="s">
        <v>81</v>
      </c>
      <c r="B20" s="5" t="s">
        <v>142</v>
      </c>
      <c r="C20" s="54" t="s">
        <v>483</v>
      </c>
      <c r="P20" s="55" t="s">
        <v>181</v>
      </c>
      <c r="U20" s="5">
        <f t="shared" si="0"/>
        <v>253</v>
      </c>
    </row>
    <row r="21" spans="1:21" x14ac:dyDescent="0.25">
      <c r="A21" s="5" t="s">
        <v>83</v>
      </c>
      <c r="B21" s="5" t="s">
        <v>143</v>
      </c>
      <c r="C21" s="54" t="s">
        <v>484</v>
      </c>
      <c r="P21" s="55" t="s">
        <v>183</v>
      </c>
      <c r="U21" s="5">
        <f t="shared" si="0"/>
        <v>258</v>
      </c>
    </row>
    <row r="22" spans="1:21" x14ac:dyDescent="0.25">
      <c r="A22" s="5" t="s">
        <v>82</v>
      </c>
      <c r="B22" s="5" t="s">
        <v>144</v>
      </c>
      <c r="C22" s="54" t="s">
        <v>485</v>
      </c>
      <c r="P22" s="55" t="s">
        <v>184</v>
      </c>
      <c r="U22" s="5">
        <f t="shared" si="0"/>
        <v>212</v>
      </c>
    </row>
    <row r="23" spans="1:21" x14ac:dyDescent="0.25">
      <c r="A23" s="5" t="s">
        <v>84</v>
      </c>
      <c r="B23" s="5" t="s">
        <v>145</v>
      </c>
      <c r="C23" s="54" t="s">
        <v>486</v>
      </c>
      <c r="P23" s="55" t="s">
        <v>185</v>
      </c>
      <c r="U23" s="5">
        <f t="shared" si="0"/>
        <v>272</v>
      </c>
    </row>
    <row r="24" spans="1:21" x14ac:dyDescent="0.25">
      <c r="C24" s="56"/>
      <c r="P24" s="57"/>
      <c r="U24" s="5">
        <f t="shared" si="0"/>
        <v>0</v>
      </c>
    </row>
    <row r="25" spans="1:21" x14ac:dyDescent="0.25">
      <c r="A25" s="5" t="s">
        <v>93</v>
      </c>
      <c r="C25" s="54" t="s">
        <v>487</v>
      </c>
      <c r="P25" s="55" t="s">
        <v>190</v>
      </c>
      <c r="U25" s="5">
        <f t="shared" si="0"/>
        <v>151</v>
      </c>
    </row>
    <row r="26" spans="1:21" x14ac:dyDescent="0.25">
      <c r="A26" s="5" t="s">
        <v>92</v>
      </c>
      <c r="C26" s="54" t="s">
        <v>488</v>
      </c>
      <c r="P26" s="55" t="s">
        <v>189</v>
      </c>
      <c r="U26" s="5">
        <f>LEN(C26)</f>
        <v>149</v>
      </c>
    </row>
    <row r="27" spans="1:21" x14ac:dyDescent="0.25">
      <c r="A27" s="5" t="s">
        <v>97</v>
      </c>
      <c r="C27" s="54" t="s">
        <v>489</v>
      </c>
      <c r="P27" s="55" t="s">
        <v>188</v>
      </c>
      <c r="U27" s="5">
        <f t="shared" si="0"/>
        <v>171</v>
      </c>
    </row>
    <row r="28" spans="1:21" x14ac:dyDescent="0.25">
      <c r="A28" s="5" t="s">
        <v>98</v>
      </c>
      <c r="C28" s="54" t="s">
        <v>491</v>
      </c>
      <c r="P28" s="55" t="s">
        <v>187</v>
      </c>
      <c r="U28" s="5">
        <f t="shared" si="0"/>
        <v>162</v>
      </c>
    </row>
    <row r="29" spans="1:21" x14ac:dyDescent="0.25">
      <c r="A29" s="5" t="s">
        <v>91</v>
      </c>
      <c r="C29" s="54" t="s">
        <v>490</v>
      </c>
      <c r="P29" s="55" t="s">
        <v>186</v>
      </c>
      <c r="U29" s="5">
        <f t="shared" si="0"/>
        <v>167</v>
      </c>
    </row>
    <row r="35" spans="7:7" x14ac:dyDescent="0.25">
      <c r="G35" s="5" t="e">
        <f>VLOOKUP(VLOOKUP('Range Check'!L4,'Lookup Table (Text to be added)'!A1:Y5,23,FALSE),'Lookup Table (Text to be added)'!A13:P17,16,FALSE)&amp;" "&amp;'Mainstream Wet-Led'!C29</f>
        <v>#N/A</v>
      </c>
    </row>
  </sheetData>
  <pageMargins left="0.7" right="0.7" top="0.75" bottom="0.75" header="0.3" footer="0.3"/>
  <pageSetup paperSize="21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topLeftCell="A112" workbookViewId="0">
      <selection activeCell="B139" sqref="B139"/>
    </sheetView>
  </sheetViews>
  <sheetFormatPr defaultColWidth="8.85546875" defaultRowHeight="15" x14ac:dyDescent="0.25"/>
  <cols>
    <col min="1" max="1" width="8.85546875" style="1"/>
    <col min="2" max="2" width="71.28515625" style="7" customWidth="1"/>
    <col min="3" max="5" width="29.7109375" style="7" customWidth="1"/>
    <col min="6" max="16384" width="8.85546875" style="1"/>
  </cols>
  <sheetData>
    <row r="1" spans="1:7" ht="16.5" customHeight="1" x14ac:dyDescent="0.25">
      <c r="A1" s="6" t="s">
        <v>310</v>
      </c>
      <c r="B1" s="6" t="s">
        <v>31</v>
      </c>
      <c r="C1" s="6" t="s">
        <v>32</v>
      </c>
      <c r="D1" s="6" t="s">
        <v>33</v>
      </c>
      <c r="E1" s="6" t="s">
        <v>53</v>
      </c>
    </row>
    <row r="2" spans="1:7" x14ac:dyDescent="0.25">
      <c r="A2" s="1">
        <v>36399</v>
      </c>
      <c r="B2" s="8" t="s">
        <v>266</v>
      </c>
      <c r="C2" s="7" t="s">
        <v>27</v>
      </c>
      <c r="D2" s="7" t="s">
        <v>17</v>
      </c>
      <c r="E2" s="7" t="s">
        <v>37</v>
      </c>
      <c r="F2" s="1" t="s">
        <v>159</v>
      </c>
      <c r="G2" s="1" t="s">
        <v>372</v>
      </c>
    </row>
    <row r="3" spans="1:7" x14ac:dyDescent="0.25">
      <c r="A3" s="1">
        <v>29361</v>
      </c>
      <c r="B3" s="8" t="s">
        <v>228</v>
      </c>
      <c r="C3" s="7" t="s">
        <v>26</v>
      </c>
      <c r="D3" s="7" t="s">
        <v>19</v>
      </c>
      <c r="E3" s="7" t="s">
        <v>35</v>
      </c>
      <c r="F3" s="1" t="s">
        <v>285</v>
      </c>
      <c r="G3" s="1" t="s">
        <v>360</v>
      </c>
    </row>
    <row r="4" spans="1:7" x14ac:dyDescent="0.25">
      <c r="A4" s="1">
        <v>21607</v>
      </c>
      <c r="B4" s="8" t="s">
        <v>225</v>
      </c>
      <c r="C4" s="7" t="s">
        <v>23</v>
      </c>
      <c r="D4" s="7" t="s">
        <v>19</v>
      </c>
      <c r="E4" s="7" t="s">
        <v>43</v>
      </c>
      <c r="F4" s="1" t="s">
        <v>161</v>
      </c>
      <c r="G4" s="1" t="s">
        <v>339</v>
      </c>
    </row>
    <row r="5" spans="1:7" x14ac:dyDescent="0.25">
      <c r="A5" s="1">
        <v>37698</v>
      </c>
      <c r="B5" s="8" t="s">
        <v>215</v>
      </c>
      <c r="C5" s="7" t="s">
        <v>27</v>
      </c>
      <c r="D5" s="7" t="s">
        <v>15</v>
      </c>
      <c r="E5" s="7" t="s">
        <v>46</v>
      </c>
      <c r="F5" s="1" t="s">
        <v>159</v>
      </c>
      <c r="G5" s="1" t="s">
        <v>362</v>
      </c>
    </row>
    <row r="6" spans="1:7" x14ac:dyDescent="0.25">
      <c r="A6" s="1">
        <v>15494</v>
      </c>
      <c r="B6" s="8" t="s">
        <v>197</v>
      </c>
      <c r="C6" s="7" t="s">
        <v>23</v>
      </c>
      <c r="D6" s="7" t="s">
        <v>15</v>
      </c>
      <c r="E6" s="7" t="s">
        <v>49</v>
      </c>
      <c r="F6" s="1" t="s">
        <v>161</v>
      </c>
      <c r="G6" s="1" t="s">
        <v>327</v>
      </c>
    </row>
    <row r="7" spans="1:7" x14ac:dyDescent="0.25">
      <c r="A7" s="1">
        <v>36006</v>
      </c>
      <c r="B7" s="8" t="s">
        <v>201</v>
      </c>
      <c r="C7" s="7" t="s">
        <v>27</v>
      </c>
      <c r="D7" s="7" t="s">
        <v>15</v>
      </c>
      <c r="E7" s="7" t="s">
        <v>46</v>
      </c>
      <c r="F7" s="1" t="s">
        <v>159</v>
      </c>
      <c r="G7" s="1" t="s">
        <v>363</v>
      </c>
    </row>
    <row r="8" spans="1:7" x14ac:dyDescent="0.25">
      <c r="A8" s="1">
        <v>29943</v>
      </c>
      <c r="B8" s="8" t="s">
        <v>267</v>
      </c>
      <c r="C8" s="7" t="s">
        <v>26</v>
      </c>
      <c r="D8" s="7" t="s">
        <v>17</v>
      </c>
      <c r="E8" s="7" t="s">
        <v>39</v>
      </c>
      <c r="F8" s="1" t="s">
        <v>158</v>
      </c>
      <c r="G8" s="1" t="s">
        <v>349</v>
      </c>
    </row>
    <row r="9" spans="1:7" x14ac:dyDescent="0.25">
      <c r="A9" s="1">
        <v>36774</v>
      </c>
      <c r="B9" s="8" t="s">
        <v>240</v>
      </c>
      <c r="C9" s="7" t="s">
        <v>26</v>
      </c>
      <c r="D9" s="7" t="s">
        <v>19</v>
      </c>
      <c r="E9" s="7" t="s">
        <v>35</v>
      </c>
      <c r="F9" s="1" t="s">
        <v>158</v>
      </c>
      <c r="G9" s="1" t="s">
        <v>353</v>
      </c>
    </row>
    <row r="10" spans="1:7" x14ac:dyDescent="0.25">
      <c r="A10" s="1">
        <v>22186</v>
      </c>
      <c r="B10" s="8" t="s">
        <v>223</v>
      </c>
      <c r="C10" s="7" t="s">
        <v>26</v>
      </c>
      <c r="D10" s="7" t="s">
        <v>19</v>
      </c>
      <c r="E10" s="7" t="s">
        <v>35</v>
      </c>
      <c r="F10" s="1" t="s">
        <v>158</v>
      </c>
      <c r="G10" s="1" t="s">
        <v>354</v>
      </c>
    </row>
    <row r="11" spans="1:7" x14ac:dyDescent="0.25">
      <c r="A11" s="1">
        <v>37826</v>
      </c>
      <c r="B11" s="8" t="s">
        <v>241</v>
      </c>
      <c r="C11" s="7" t="s">
        <v>27</v>
      </c>
      <c r="D11" s="7" t="s">
        <v>17</v>
      </c>
      <c r="E11" s="7" t="s">
        <v>37</v>
      </c>
      <c r="F11" s="1" t="s">
        <v>159</v>
      </c>
      <c r="G11" s="1" t="s">
        <v>459</v>
      </c>
    </row>
    <row r="12" spans="1:7" x14ac:dyDescent="0.25">
      <c r="A12" s="1">
        <v>34971</v>
      </c>
      <c r="B12" s="8" t="s">
        <v>250</v>
      </c>
      <c r="C12" s="7" t="s">
        <v>27</v>
      </c>
      <c r="D12" s="7" t="s">
        <v>17</v>
      </c>
      <c r="E12" s="7" t="s">
        <v>37</v>
      </c>
      <c r="F12" s="1" t="s">
        <v>159</v>
      </c>
      <c r="G12" s="1" t="s">
        <v>373</v>
      </c>
    </row>
    <row r="13" spans="1:7" x14ac:dyDescent="0.25">
      <c r="A13" s="1">
        <v>35073</v>
      </c>
      <c r="B13" s="8" t="s">
        <v>208</v>
      </c>
      <c r="C13" s="7" t="s">
        <v>27</v>
      </c>
      <c r="D13" s="7" t="s">
        <v>17</v>
      </c>
      <c r="E13" s="7" t="s">
        <v>37</v>
      </c>
      <c r="F13" s="1" t="s">
        <v>159</v>
      </c>
      <c r="G13" s="1" t="s">
        <v>374</v>
      </c>
    </row>
    <row r="14" spans="1:7" x14ac:dyDescent="0.25">
      <c r="A14" s="1">
        <v>28967</v>
      </c>
      <c r="B14" s="7" t="s">
        <v>461</v>
      </c>
      <c r="C14" s="7" t="s">
        <v>22</v>
      </c>
      <c r="D14" s="7" t="s">
        <v>17</v>
      </c>
      <c r="E14" s="7" t="str">
        <f>C14&amp;D14</f>
        <v>JuniperPremium</v>
      </c>
      <c r="F14" s="1" t="s">
        <v>160</v>
      </c>
      <c r="G14" s="1" t="s">
        <v>458</v>
      </c>
    </row>
    <row r="15" spans="1:7" x14ac:dyDescent="0.25">
      <c r="A15" s="1">
        <v>37835</v>
      </c>
      <c r="B15" s="8" t="s">
        <v>164</v>
      </c>
      <c r="C15" s="7" t="s">
        <v>23</v>
      </c>
      <c r="D15" s="7" t="s">
        <v>17</v>
      </c>
      <c r="E15" s="7" t="s">
        <v>41</v>
      </c>
      <c r="F15" s="1" t="s">
        <v>161</v>
      </c>
      <c r="G15" s="1" t="s">
        <v>328</v>
      </c>
    </row>
    <row r="16" spans="1:7" x14ac:dyDescent="0.25">
      <c r="A16" s="1">
        <v>15492</v>
      </c>
      <c r="B16" s="8" t="s">
        <v>165</v>
      </c>
      <c r="C16" s="7" t="s">
        <v>23</v>
      </c>
      <c r="D16" s="7" t="s">
        <v>17</v>
      </c>
      <c r="E16" s="7" t="s">
        <v>41</v>
      </c>
      <c r="F16" s="1" t="s">
        <v>161</v>
      </c>
      <c r="G16" s="1" t="s">
        <v>329</v>
      </c>
    </row>
    <row r="17" spans="1:7" x14ac:dyDescent="0.25">
      <c r="A17" s="1">
        <v>36490</v>
      </c>
      <c r="B17" s="8" t="s">
        <v>212</v>
      </c>
      <c r="C17" s="7" t="s">
        <v>27</v>
      </c>
      <c r="D17" s="7" t="s">
        <v>15</v>
      </c>
      <c r="E17" s="7" t="s">
        <v>46</v>
      </c>
      <c r="F17" s="1" t="s">
        <v>159</v>
      </c>
      <c r="G17" s="1" t="s">
        <v>364</v>
      </c>
    </row>
    <row r="18" spans="1:7" x14ac:dyDescent="0.25">
      <c r="A18" s="1">
        <v>37577</v>
      </c>
      <c r="B18" s="8" t="s">
        <v>280</v>
      </c>
      <c r="C18" s="7" t="s">
        <v>23</v>
      </c>
      <c r="D18" s="7" t="s">
        <v>19</v>
      </c>
      <c r="E18" s="7" t="s">
        <v>43</v>
      </c>
      <c r="F18" s="1" t="s">
        <v>161</v>
      </c>
      <c r="G18" s="1" t="s">
        <v>340</v>
      </c>
    </row>
    <row r="19" spans="1:7" x14ac:dyDescent="0.25">
      <c r="A19" s="1">
        <v>31689</v>
      </c>
      <c r="B19" s="8" t="s">
        <v>247</v>
      </c>
      <c r="C19" s="7" t="s">
        <v>23</v>
      </c>
      <c r="D19" s="7" t="s">
        <v>19</v>
      </c>
      <c r="E19" s="7" t="s">
        <v>43</v>
      </c>
      <c r="F19" s="1" t="s">
        <v>161</v>
      </c>
      <c r="G19" s="1" t="s">
        <v>341</v>
      </c>
    </row>
    <row r="20" spans="1:7" x14ac:dyDescent="0.25">
      <c r="A20" s="1">
        <v>28961</v>
      </c>
      <c r="B20" s="7" t="s">
        <v>166</v>
      </c>
      <c r="C20" s="7" t="s">
        <v>27</v>
      </c>
      <c r="D20" s="7" t="s">
        <v>19</v>
      </c>
      <c r="E20" s="7" t="s">
        <v>42</v>
      </c>
      <c r="F20" s="1" t="s">
        <v>159</v>
      </c>
      <c r="G20" s="1" t="s">
        <v>390</v>
      </c>
    </row>
    <row r="21" spans="1:7" x14ac:dyDescent="0.25">
      <c r="A21" s="1">
        <v>28053</v>
      </c>
      <c r="B21" s="7" t="s">
        <v>462</v>
      </c>
      <c r="C21" s="7" t="s">
        <v>22</v>
      </c>
      <c r="D21" s="7" t="s">
        <v>17</v>
      </c>
      <c r="E21" s="7" t="str">
        <f>C21&amp;D21</f>
        <v>JuniperPremium</v>
      </c>
      <c r="F21" s="1" t="s">
        <v>160</v>
      </c>
      <c r="G21" s="1" t="s">
        <v>457</v>
      </c>
    </row>
    <row r="22" spans="1:7" x14ac:dyDescent="0.25">
      <c r="A22" s="1">
        <v>37236</v>
      </c>
      <c r="B22" s="7" t="s">
        <v>326</v>
      </c>
      <c r="C22" s="7" t="s">
        <v>23</v>
      </c>
      <c r="D22" s="7" t="s">
        <v>19</v>
      </c>
      <c r="E22" s="7" t="str">
        <f>C22&amp;D22</f>
        <v>CitrusSuper Premium</v>
      </c>
      <c r="F22" s="1" t="s">
        <v>161</v>
      </c>
      <c r="G22" s="1" t="s">
        <v>456</v>
      </c>
    </row>
    <row r="23" spans="1:7" x14ac:dyDescent="0.25">
      <c r="A23" s="1">
        <v>28423</v>
      </c>
      <c r="B23" s="8" t="s">
        <v>167</v>
      </c>
      <c r="C23" s="7" t="s">
        <v>23</v>
      </c>
      <c r="D23" s="7" t="s">
        <v>17</v>
      </c>
      <c r="E23" s="7" t="s">
        <v>41</v>
      </c>
      <c r="F23" s="1" t="s">
        <v>161</v>
      </c>
      <c r="G23" s="1" t="s">
        <v>330</v>
      </c>
    </row>
    <row r="24" spans="1:7" x14ac:dyDescent="0.25">
      <c r="A24" s="1">
        <v>30535</v>
      </c>
      <c r="B24" s="8" t="s">
        <v>269</v>
      </c>
      <c r="C24" s="7" t="s">
        <v>23</v>
      </c>
      <c r="D24" s="7" t="s">
        <v>17</v>
      </c>
      <c r="E24" s="7" t="s">
        <v>41</v>
      </c>
      <c r="F24" s="1" t="s">
        <v>161</v>
      </c>
      <c r="G24" s="1" t="s">
        <v>331</v>
      </c>
    </row>
    <row r="25" spans="1:7" x14ac:dyDescent="0.25">
      <c r="A25" s="1">
        <v>38054</v>
      </c>
      <c r="B25" s="8" t="s">
        <v>286</v>
      </c>
      <c r="C25" s="7" t="s">
        <v>23</v>
      </c>
      <c r="D25" s="7" t="s">
        <v>17</v>
      </c>
      <c r="E25" s="7" t="s">
        <v>41</v>
      </c>
      <c r="F25" s="1" t="s">
        <v>161</v>
      </c>
      <c r="G25" s="1" t="s">
        <v>332</v>
      </c>
    </row>
    <row r="26" spans="1:7" x14ac:dyDescent="0.25">
      <c r="A26" s="1">
        <v>25475</v>
      </c>
      <c r="B26" s="8" t="s">
        <v>168</v>
      </c>
      <c r="C26" s="7" t="s">
        <v>26</v>
      </c>
      <c r="D26" s="7" t="s">
        <v>19</v>
      </c>
      <c r="E26" s="7" t="s">
        <v>35</v>
      </c>
      <c r="F26" s="1" t="s">
        <v>158</v>
      </c>
      <c r="G26" s="1" t="s">
        <v>355</v>
      </c>
    </row>
    <row r="27" spans="1:7" x14ac:dyDescent="0.25">
      <c r="A27" s="1">
        <v>38269</v>
      </c>
      <c r="B27" s="7" t="s">
        <v>169</v>
      </c>
      <c r="C27" s="7" t="s">
        <v>27</v>
      </c>
      <c r="D27" s="7" t="s">
        <v>19</v>
      </c>
      <c r="E27" s="7" t="s">
        <v>42</v>
      </c>
      <c r="F27" s="1" t="s">
        <v>159</v>
      </c>
      <c r="G27" s="1" t="s">
        <v>391</v>
      </c>
    </row>
    <row r="28" spans="1:7" x14ac:dyDescent="0.25">
      <c r="A28" s="1">
        <v>37019</v>
      </c>
      <c r="B28" s="8" t="s">
        <v>195</v>
      </c>
      <c r="C28" s="7" t="s">
        <v>22</v>
      </c>
      <c r="D28" s="7" t="s">
        <v>15</v>
      </c>
      <c r="E28" s="7" t="s">
        <v>38</v>
      </c>
      <c r="F28" s="1" t="s">
        <v>160</v>
      </c>
      <c r="G28" s="1" t="s">
        <v>406</v>
      </c>
    </row>
    <row r="29" spans="1:7" x14ac:dyDescent="0.25">
      <c r="A29" s="1">
        <v>36175</v>
      </c>
      <c r="B29" s="8" t="s">
        <v>253</v>
      </c>
      <c r="C29" s="7" t="s">
        <v>23</v>
      </c>
      <c r="D29" s="7" t="s">
        <v>17</v>
      </c>
      <c r="E29" s="7" t="s">
        <v>41</v>
      </c>
      <c r="F29" s="1" t="s">
        <v>161</v>
      </c>
      <c r="G29" s="1" t="s">
        <v>333</v>
      </c>
    </row>
    <row r="30" spans="1:7" x14ac:dyDescent="0.25">
      <c r="A30" s="1">
        <v>38099</v>
      </c>
      <c r="B30" s="7" t="s">
        <v>282</v>
      </c>
      <c r="C30" s="7" t="s">
        <v>27</v>
      </c>
      <c r="D30" s="7" t="s">
        <v>19</v>
      </c>
      <c r="E30" s="7" t="s">
        <v>42</v>
      </c>
      <c r="F30" s="1" t="s">
        <v>159</v>
      </c>
      <c r="G30" s="1" t="s">
        <v>392</v>
      </c>
    </row>
    <row r="31" spans="1:7" x14ac:dyDescent="0.25">
      <c r="A31" s="1">
        <v>29781</v>
      </c>
      <c r="B31" s="8" t="s">
        <v>233</v>
      </c>
      <c r="C31" s="7" t="s">
        <v>22</v>
      </c>
      <c r="D31" s="7" t="s">
        <v>19</v>
      </c>
      <c r="E31" s="7" t="s">
        <v>36</v>
      </c>
      <c r="F31" s="1" t="s">
        <v>160</v>
      </c>
      <c r="G31" s="1" t="s">
        <v>417</v>
      </c>
    </row>
    <row r="32" spans="1:7" x14ac:dyDescent="0.25">
      <c r="A32" s="1">
        <v>33170</v>
      </c>
      <c r="B32" s="8" t="s">
        <v>221</v>
      </c>
      <c r="C32" s="7" t="s">
        <v>23</v>
      </c>
      <c r="D32" s="7" t="s">
        <v>19</v>
      </c>
      <c r="E32" s="7" t="s">
        <v>43</v>
      </c>
      <c r="F32" s="1" t="s">
        <v>161</v>
      </c>
      <c r="G32" s="1" t="s">
        <v>342</v>
      </c>
    </row>
    <row r="33" spans="1:7" x14ac:dyDescent="0.25">
      <c r="A33" s="1">
        <v>37287</v>
      </c>
      <c r="B33" s="7" t="s">
        <v>260</v>
      </c>
      <c r="C33" s="7" t="s">
        <v>27</v>
      </c>
      <c r="D33" s="7" t="s">
        <v>19</v>
      </c>
      <c r="E33" s="7" t="s">
        <v>42</v>
      </c>
      <c r="F33" s="1" t="s">
        <v>159</v>
      </c>
      <c r="G33" s="1" t="s">
        <v>393</v>
      </c>
    </row>
    <row r="34" spans="1:7" x14ac:dyDescent="0.25">
      <c r="A34" s="1">
        <v>29782</v>
      </c>
      <c r="B34" s="8" t="s">
        <v>249</v>
      </c>
      <c r="C34" s="7" t="s">
        <v>23</v>
      </c>
      <c r="D34" s="7" t="s">
        <v>19</v>
      </c>
      <c r="E34" s="7" t="s">
        <v>43</v>
      </c>
      <c r="F34" s="1" t="s">
        <v>161</v>
      </c>
      <c r="G34" s="1" t="s">
        <v>343</v>
      </c>
    </row>
    <row r="35" spans="1:7" x14ac:dyDescent="0.25">
      <c r="A35" s="42">
        <v>10096</v>
      </c>
      <c r="B35" s="12" t="s">
        <v>325</v>
      </c>
      <c r="C35" s="12" t="s">
        <v>22</v>
      </c>
      <c r="D35" s="7" t="s">
        <v>15</v>
      </c>
      <c r="E35" s="12" t="str">
        <f>C35&amp;D35</f>
        <v>JuniperStandard</v>
      </c>
      <c r="F35" s="42" t="s">
        <v>160</v>
      </c>
      <c r="G35" s="1" t="s">
        <v>455</v>
      </c>
    </row>
    <row r="36" spans="1:7" x14ac:dyDescent="0.25">
      <c r="A36" s="1">
        <v>35589</v>
      </c>
      <c r="B36" s="8" t="s">
        <v>264</v>
      </c>
      <c r="C36" s="7" t="s">
        <v>22</v>
      </c>
      <c r="D36" s="7" t="s">
        <v>19</v>
      </c>
      <c r="E36" s="7" t="s">
        <v>36</v>
      </c>
      <c r="F36" s="1" t="s">
        <v>160</v>
      </c>
      <c r="G36" s="1" t="s">
        <v>418</v>
      </c>
    </row>
    <row r="37" spans="1:7" x14ac:dyDescent="0.25">
      <c r="A37" s="1">
        <v>31700</v>
      </c>
      <c r="B37" s="8" t="s">
        <v>262</v>
      </c>
      <c r="C37" s="7" t="s">
        <v>23</v>
      </c>
      <c r="D37" s="7" t="s">
        <v>19</v>
      </c>
      <c r="E37" s="7" t="s">
        <v>43</v>
      </c>
      <c r="F37" s="1" t="s">
        <v>161</v>
      </c>
      <c r="G37" s="1" t="s">
        <v>344</v>
      </c>
    </row>
    <row r="38" spans="1:7" x14ac:dyDescent="0.25">
      <c r="A38" s="1">
        <v>30148</v>
      </c>
      <c r="B38" s="7" t="s">
        <v>226</v>
      </c>
      <c r="C38" s="7" t="s">
        <v>22</v>
      </c>
      <c r="D38" s="7" t="s">
        <v>19</v>
      </c>
      <c r="E38" s="7" t="s">
        <v>36</v>
      </c>
      <c r="F38" s="1" t="s">
        <v>160</v>
      </c>
      <c r="G38" s="1" t="s">
        <v>460</v>
      </c>
    </row>
    <row r="39" spans="1:7" x14ac:dyDescent="0.25">
      <c r="A39" s="1">
        <v>29530</v>
      </c>
      <c r="B39" s="7" t="s">
        <v>246</v>
      </c>
      <c r="C39" s="7" t="s">
        <v>24</v>
      </c>
      <c r="D39" s="7" t="s">
        <v>19</v>
      </c>
      <c r="E39" s="7" t="s">
        <v>44</v>
      </c>
      <c r="F39" s="1" t="s">
        <v>163</v>
      </c>
      <c r="G39" s="1" t="s">
        <v>426</v>
      </c>
    </row>
    <row r="40" spans="1:7" x14ac:dyDescent="0.25">
      <c r="A40" s="1">
        <v>37621</v>
      </c>
      <c r="B40" s="7" t="s">
        <v>324</v>
      </c>
      <c r="C40" s="7" t="s">
        <v>27</v>
      </c>
      <c r="D40" s="7" t="s">
        <v>19</v>
      </c>
      <c r="E40" s="7" t="str">
        <f>C40&amp;D40</f>
        <v>FruitSuper Premium</v>
      </c>
      <c r="F40" s="1" t="s">
        <v>159</v>
      </c>
      <c r="G40" s="1" t="s">
        <v>454</v>
      </c>
    </row>
    <row r="41" spans="1:7" x14ac:dyDescent="0.25">
      <c r="A41" s="1">
        <v>32755</v>
      </c>
      <c r="B41" s="8" t="s">
        <v>270</v>
      </c>
      <c r="C41" s="7" t="s">
        <v>26</v>
      </c>
      <c r="D41" s="7" t="s">
        <v>17</v>
      </c>
      <c r="E41" s="7" t="s">
        <v>39</v>
      </c>
      <c r="F41" s="58" t="s">
        <v>158</v>
      </c>
      <c r="G41" s="1" t="s">
        <v>350</v>
      </c>
    </row>
    <row r="42" spans="1:7" x14ac:dyDescent="0.25">
      <c r="A42" s="1">
        <v>31680</v>
      </c>
      <c r="B42" s="8" t="s">
        <v>278</v>
      </c>
      <c r="C42" s="7" t="s">
        <v>25</v>
      </c>
      <c r="D42" s="7" t="s">
        <v>17</v>
      </c>
      <c r="E42" s="7" t="s">
        <v>47</v>
      </c>
      <c r="F42" s="1" t="s">
        <v>162</v>
      </c>
      <c r="G42" s="1" t="s">
        <v>401</v>
      </c>
    </row>
    <row r="43" spans="1:7" x14ac:dyDescent="0.25">
      <c r="A43" s="1">
        <v>31679</v>
      </c>
      <c r="B43" s="8" t="s">
        <v>229</v>
      </c>
      <c r="C43" s="7" t="s">
        <v>26</v>
      </c>
      <c r="D43" s="7" t="s">
        <v>17</v>
      </c>
      <c r="E43" s="7" t="s">
        <v>39</v>
      </c>
      <c r="F43" s="1" t="s">
        <v>158</v>
      </c>
      <c r="G43" s="1" t="s">
        <v>351</v>
      </c>
    </row>
    <row r="44" spans="1:7" x14ac:dyDescent="0.25">
      <c r="A44" s="1">
        <v>38288</v>
      </c>
      <c r="B44" s="8" t="s">
        <v>276</v>
      </c>
      <c r="C44" s="7" t="s">
        <v>27</v>
      </c>
      <c r="D44" s="7" t="s">
        <v>17</v>
      </c>
      <c r="E44" s="7" t="s">
        <v>37</v>
      </c>
      <c r="F44" s="58" t="s">
        <v>159</v>
      </c>
      <c r="G44" s="1" t="s">
        <v>375</v>
      </c>
    </row>
    <row r="45" spans="1:7" x14ac:dyDescent="0.25">
      <c r="A45" s="1">
        <v>31681</v>
      </c>
      <c r="B45" s="7" t="s">
        <v>271</v>
      </c>
      <c r="C45" s="7" t="s">
        <v>24</v>
      </c>
      <c r="D45" s="7" t="s">
        <v>17</v>
      </c>
      <c r="E45" s="7" t="s">
        <v>48</v>
      </c>
      <c r="F45" s="1" t="s">
        <v>163</v>
      </c>
      <c r="G45" s="1" t="s">
        <v>425</v>
      </c>
    </row>
    <row r="46" spans="1:7" x14ac:dyDescent="0.25">
      <c r="A46" s="1">
        <v>31682</v>
      </c>
      <c r="B46" s="8" t="s">
        <v>238</v>
      </c>
      <c r="C46" s="7" t="s">
        <v>23</v>
      </c>
      <c r="D46" s="7" t="s">
        <v>17</v>
      </c>
      <c r="E46" s="7" t="s">
        <v>41</v>
      </c>
      <c r="F46" s="1" t="s">
        <v>161</v>
      </c>
      <c r="G46" s="1" t="s">
        <v>334</v>
      </c>
    </row>
    <row r="47" spans="1:7" x14ac:dyDescent="0.25">
      <c r="A47" s="1">
        <v>37579</v>
      </c>
      <c r="B47" s="8" t="s">
        <v>194</v>
      </c>
      <c r="C47" s="7" t="s">
        <v>27</v>
      </c>
      <c r="D47" s="7" t="s">
        <v>17</v>
      </c>
      <c r="E47" s="7" t="s">
        <v>37</v>
      </c>
      <c r="F47" s="58" t="s">
        <v>159</v>
      </c>
      <c r="G47" s="1" t="s">
        <v>376</v>
      </c>
    </row>
    <row r="48" spans="1:7" x14ac:dyDescent="0.25">
      <c r="A48" s="42">
        <v>28864</v>
      </c>
      <c r="B48" s="12" t="s">
        <v>220</v>
      </c>
      <c r="C48" s="12" t="s">
        <v>22</v>
      </c>
      <c r="D48" s="12" t="s">
        <v>19</v>
      </c>
      <c r="E48" s="12" t="s">
        <v>36</v>
      </c>
      <c r="F48" s="42" t="s">
        <v>160</v>
      </c>
      <c r="G48" s="1" t="s">
        <v>419</v>
      </c>
    </row>
    <row r="49" spans="1:7" x14ac:dyDescent="0.25">
      <c r="A49" s="1">
        <v>31782</v>
      </c>
      <c r="B49" s="8" t="s">
        <v>237</v>
      </c>
      <c r="C49" s="7" t="s">
        <v>27</v>
      </c>
      <c r="D49" s="7" t="s">
        <v>15</v>
      </c>
      <c r="E49" s="7" t="s">
        <v>46</v>
      </c>
      <c r="F49" s="1" t="s">
        <v>159</v>
      </c>
      <c r="G49" s="1" t="s">
        <v>365</v>
      </c>
    </row>
    <row r="50" spans="1:7" x14ac:dyDescent="0.25">
      <c r="A50" s="1">
        <v>34770</v>
      </c>
      <c r="B50" s="8" t="s">
        <v>254</v>
      </c>
      <c r="C50" s="7" t="s">
        <v>27</v>
      </c>
      <c r="D50" s="7" t="s">
        <v>15</v>
      </c>
      <c r="E50" s="7" t="s">
        <v>46</v>
      </c>
      <c r="F50" s="1" t="s">
        <v>159</v>
      </c>
      <c r="G50" s="1" t="s">
        <v>366</v>
      </c>
    </row>
    <row r="51" spans="1:7" x14ac:dyDescent="0.25">
      <c r="A51" s="1">
        <v>31781</v>
      </c>
      <c r="B51" s="8" t="s">
        <v>218</v>
      </c>
      <c r="C51" s="7" t="s">
        <v>27</v>
      </c>
      <c r="D51" s="7" t="s">
        <v>15</v>
      </c>
      <c r="E51" s="7" t="s">
        <v>46</v>
      </c>
      <c r="F51" s="1" t="s">
        <v>159</v>
      </c>
      <c r="G51" s="1" t="s">
        <v>367</v>
      </c>
    </row>
    <row r="52" spans="1:7" x14ac:dyDescent="0.25">
      <c r="A52" s="1">
        <v>31499</v>
      </c>
      <c r="B52" s="8" t="s">
        <v>205</v>
      </c>
      <c r="C52" s="7" t="s">
        <v>27</v>
      </c>
      <c r="D52" s="7" t="s">
        <v>15</v>
      </c>
      <c r="E52" s="7" t="s">
        <v>46</v>
      </c>
      <c r="F52" s="1" t="s">
        <v>159</v>
      </c>
      <c r="G52" s="1" t="s">
        <v>368</v>
      </c>
    </row>
    <row r="53" spans="1:7" x14ac:dyDescent="0.25">
      <c r="A53" s="1">
        <v>38189</v>
      </c>
      <c r="B53" s="7" t="s">
        <v>256</v>
      </c>
      <c r="C53" s="7" t="s">
        <v>27</v>
      </c>
      <c r="D53" s="7" t="s">
        <v>19</v>
      </c>
      <c r="E53" s="7" t="s">
        <v>42</v>
      </c>
      <c r="F53" s="1" t="s">
        <v>159</v>
      </c>
      <c r="G53" s="1" t="s">
        <v>394</v>
      </c>
    </row>
    <row r="54" spans="1:7" x14ac:dyDescent="0.25">
      <c r="A54" s="1">
        <v>38188</v>
      </c>
      <c r="B54" s="8" t="s">
        <v>279</v>
      </c>
      <c r="C54" s="7" t="s">
        <v>26</v>
      </c>
      <c r="D54" s="7" t="s">
        <v>19</v>
      </c>
      <c r="E54" s="7" t="s">
        <v>35</v>
      </c>
      <c r="F54" s="1" t="s">
        <v>158</v>
      </c>
      <c r="G54" s="1" t="s">
        <v>356</v>
      </c>
    </row>
    <row r="55" spans="1:7" x14ac:dyDescent="0.25">
      <c r="A55" s="1">
        <v>30538</v>
      </c>
      <c r="B55" s="8" t="s">
        <v>170</v>
      </c>
      <c r="C55" s="7" t="s">
        <v>25</v>
      </c>
      <c r="D55" s="7" t="s">
        <v>19</v>
      </c>
      <c r="E55" s="7" t="s">
        <v>45</v>
      </c>
      <c r="F55" s="1" t="s">
        <v>162</v>
      </c>
      <c r="G55" s="1" t="s">
        <v>402</v>
      </c>
    </row>
    <row r="56" spans="1:7" x14ac:dyDescent="0.25">
      <c r="A56" s="1">
        <v>30191</v>
      </c>
      <c r="B56" s="7" t="s">
        <v>171</v>
      </c>
      <c r="C56" s="7" t="s">
        <v>22</v>
      </c>
      <c r="D56" s="7" t="s">
        <v>19</v>
      </c>
      <c r="E56" s="7" t="s">
        <v>36</v>
      </c>
      <c r="F56" s="1" t="s">
        <v>160</v>
      </c>
      <c r="G56" s="1" t="s">
        <v>420</v>
      </c>
    </row>
    <row r="57" spans="1:7" x14ac:dyDescent="0.25">
      <c r="A57" s="1">
        <v>27837</v>
      </c>
      <c r="B57" s="7" t="s">
        <v>323</v>
      </c>
      <c r="C57" s="7" t="s">
        <v>25</v>
      </c>
      <c r="D57" s="7" t="s">
        <v>19</v>
      </c>
      <c r="E57" s="7" t="str">
        <f>C57&amp;D57</f>
        <v>HerbaceousSuper Premium</v>
      </c>
      <c r="F57" s="1" t="s">
        <v>162</v>
      </c>
      <c r="G57" s="1" t="s">
        <v>453</v>
      </c>
    </row>
    <row r="58" spans="1:7" x14ac:dyDescent="0.25">
      <c r="A58" s="1">
        <v>37615</v>
      </c>
      <c r="B58" s="8" t="s">
        <v>251</v>
      </c>
      <c r="C58" s="7" t="s">
        <v>27</v>
      </c>
      <c r="D58" s="7" t="s">
        <v>17</v>
      </c>
      <c r="E58" s="7" t="s">
        <v>37</v>
      </c>
      <c r="F58" s="1" t="s">
        <v>159</v>
      </c>
      <c r="G58" s="1" t="s">
        <v>377</v>
      </c>
    </row>
    <row r="59" spans="1:7" x14ac:dyDescent="0.25">
      <c r="A59" s="1">
        <v>28432</v>
      </c>
      <c r="B59" s="8" t="s">
        <v>172</v>
      </c>
      <c r="C59" s="7" t="s">
        <v>22</v>
      </c>
      <c r="D59" s="7" t="s">
        <v>15</v>
      </c>
      <c r="E59" s="7" t="s">
        <v>38</v>
      </c>
      <c r="F59" s="1" t="s">
        <v>160</v>
      </c>
      <c r="G59" s="1" t="s">
        <v>407</v>
      </c>
    </row>
    <row r="60" spans="1:7" x14ac:dyDescent="0.25">
      <c r="A60" s="1">
        <v>34787</v>
      </c>
      <c r="B60" s="8" t="s">
        <v>198</v>
      </c>
      <c r="C60" s="7" t="s">
        <v>27</v>
      </c>
      <c r="D60" s="7" t="s">
        <v>15</v>
      </c>
      <c r="E60" s="7" t="s">
        <v>46</v>
      </c>
      <c r="F60" s="1" t="s">
        <v>159</v>
      </c>
      <c r="G60" s="1" t="s">
        <v>369</v>
      </c>
    </row>
    <row r="61" spans="1:7" x14ac:dyDescent="0.25">
      <c r="A61" s="1">
        <v>37632</v>
      </c>
      <c r="B61" s="8" t="s">
        <v>257</v>
      </c>
      <c r="C61" s="7" t="s">
        <v>27</v>
      </c>
      <c r="D61" s="7" t="s">
        <v>15</v>
      </c>
      <c r="E61" s="7" t="s">
        <v>46</v>
      </c>
      <c r="F61" s="1" t="s">
        <v>159</v>
      </c>
      <c r="G61" s="1" t="s">
        <v>370</v>
      </c>
    </row>
    <row r="62" spans="1:7" x14ac:dyDescent="0.25">
      <c r="A62" s="42">
        <v>26608</v>
      </c>
      <c r="B62" s="64" t="s">
        <v>214</v>
      </c>
      <c r="C62" s="12" t="s">
        <v>22</v>
      </c>
      <c r="D62" s="7" t="s">
        <v>15</v>
      </c>
      <c r="E62" s="12" t="s">
        <v>38</v>
      </c>
      <c r="F62" s="42" t="s">
        <v>160</v>
      </c>
      <c r="G62" s="1" t="s">
        <v>408</v>
      </c>
    </row>
    <row r="63" spans="1:7" x14ac:dyDescent="0.25">
      <c r="A63" s="1">
        <v>36861</v>
      </c>
      <c r="B63" s="8" t="s">
        <v>242</v>
      </c>
      <c r="C63" s="7" t="s">
        <v>27</v>
      </c>
      <c r="D63" s="7" t="s">
        <v>15</v>
      </c>
      <c r="E63" s="7" t="s">
        <v>46</v>
      </c>
      <c r="F63" s="1" t="s">
        <v>159</v>
      </c>
      <c r="G63" s="1" t="s">
        <v>371</v>
      </c>
    </row>
    <row r="64" spans="1:7" x14ac:dyDescent="0.25">
      <c r="A64" s="1">
        <v>36063</v>
      </c>
      <c r="B64" s="8" t="s">
        <v>255</v>
      </c>
      <c r="C64" s="7" t="s">
        <v>22</v>
      </c>
      <c r="D64" s="7" t="s">
        <v>17</v>
      </c>
      <c r="E64" s="7" t="s">
        <v>40</v>
      </c>
      <c r="F64" s="1" t="s">
        <v>160</v>
      </c>
      <c r="G64" s="1" t="s">
        <v>410</v>
      </c>
    </row>
    <row r="65" spans="1:7" x14ac:dyDescent="0.25">
      <c r="A65" s="1">
        <v>36062</v>
      </c>
      <c r="B65" s="8" t="s">
        <v>252</v>
      </c>
      <c r="C65" s="7" t="s">
        <v>22</v>
      </c>
      <c r="D65" s="7" t="s">
        <v>17</v>
      </c>
      <c r="E65" s="7" t="s">
        <v>40</v>
      </c>
      <c r="F65" s="1" t="s">
        <v>160</v>
      </c>
      <c r="G65" s="1" t="s">
        <v>411</v>
      </c>
    </row>
    <row r="66" spans="1:7" x14ac:dyDescent="0.25">
      <c r="A66" s="1">
        <v>15503</v>
      </c>
      <c r="B66" s="8" t="s">
        <v>200</v>
      </c>
      <c r="C66" s="7" t="s">
        <v>26</v>
      </c>
      <c r="D66" s="7" t="s">
        <v>19</v>
      </c>
      <c r="E66" s="7" t="s">
        <v>35</v>
      </c>
      <c r="F66" s="1" t="s">
        <v>285</v>
      </c>
      <c r="G66" s="1" t="s">
        <v>361</v>
      </c>
    </row>
    <row r="67" spans="1:7" x14ac:dyDescent="0.25">
      <c r="A67" s="1">
        <v>37825</v>
      </c>
      <c r="B67" s="8" t="s">
        <v>232</v>
      </c>
      <c r="C67" s="7" t="s">
        <v>26</v>
      </c>
      <c r="D67" s="7" t="s">
        <v>19</v>
      </c>
      <c r="E67" s="7" t="s">
        <v>35</v>
      </c>
      <c r="F67" s="1" t="s">
        <v>158</v>
      </c>
      <c r="G67" s="1" t="s">
        <v>357</v>
      </c>
    </row>
    <row r="68" spans="1:7" x14ac:dyDescent="0.25">
      <c r="A68" s="1">
        <v>33011</v>
      </c>
      <c r="B68" s="8" t="s">
        <v>234</v>
      </c>
      <c r="C68" s="7" t="s">
        <v>26</v>
      </c>
      <c r="D68" s="7" t="s">
        <v>15</v>
      </c>
      <c r="E68" s="7" t="s">
        <v>50</v>
      </c>
      <c r="F68" s="1" t="s">
        <v>158</v>
      </c>
      <c r="G68" s="1" t="s">
        <v>348</v>
      </c>
    </row>
    <row r="69" spans="1:7" x14ac:dyDescent="0.25">
      <c r="A69" s="1">
        <v>32181</v>
      </c>
      <c r="B69" s="8" t="s">
        <v>216</v>
      </c>
      <c r="C69" s="7" t="s">
        <v>22</v>
      </c>
      <c r="D69" s="7" t="s">
        <v>15</v>
      </c>
      <c r="E69" s="7" t="s">
        <v>38</v>
      </c>
      <c r="F69" s="1" t="s">
        <v>160</v>
      </c>
      <c r="G69" s="1" t="s">
        <v>409</v>
      </c>
    </row>
    <row r="70" spans="1:7" x14ac:dyDescent="0.25">
      <c r="A70" s="1">
        <v>38409</v>
      </c>
      <c r="B70" s="7" t="s">
        <v>272</v>
      </c>
      <c r="C70" s="7" t="s">
        <v>27</v>
      </c>
      <c r="D70" s="7" t="s">
        <v>17</v>
      </c>
      <c r="E70" s="7" t="s">
        <v>37</v>
      </c>
      <c r="F70" s="1" t="s">
        <v>159</v>
      </c>
      <c r="G70" s="1" t="s">
        <v>378</v>
      </c>
    </row>
    <row r="71" spans="1:7" x14ac:dyDescent="0.25">
      <c r="A71" s="1">
        <v>28803</v>
      </c>
      <c r="B71" s="7" t="s">
        <v>322</v>
      </c>
      <c r="C71" s="7" t="s">
        <v>22</v>
      </c>
      <c r="D71" s="7" t="s">
        <v>17</v>
      </c>
      <c r="E71" s="7" t="str">
        <f>C71&amp;D71</f>
        <v>JuniperPremium</v>
      </c>
      <c r="F71" s="1" t="s">
        <v>160</v>
      </c>
      <c r="G71" s="1" t="s">
        <v>452</v>
      </c>
    </row>
    <row r="72" spans="1:7" x14ac:dyDescent="0.25">
      <c r="A72" s="1">
        <v>32137</v>
      </c>
      <c r="B72" s="7" t="s">
        <v>321</v>
      </c>
      <c r="C72" s="7" t="s">
        <v>23</v>
      </c>
      <c r="D72" s="7" t="s">
        <v>15</v>
      </c>
      <c r="E72" s="7" t="str">
        <f>C72&amp;D72</f>
        <v>CitrusStandard</v>
      </c>
      <c r="F72" s="1" t="s">
        <v>161</v>
      </c>
      <c r="G72" s="1" t="s">
        <v>451</v>
      </c>
    </row>
    <row r="73" spans="1:7" x14ac:dyDescent="0.25">
      <c r="A73" s="1">
        <v>32705</v>
      </c>
      <c r="B73" s="7" t="s">
        <v>320</v>
      </c>
      <c r="C73" s="7" t="s">
        <v>27</v>
      </c>
      <c r="D73" s="7" t="s">
        <v>17</v>
      </c>
      <c r="E73" s="7" t="str">
        <f>C73&amp;D73</f>
        <v>FruitPremium</v>
      </c>
      <c r="F73" s="1" t="s">
        <v>159</v>
      </c>
      <c r="G73" s="1" t="s">
        <v>450</v>
      </c>
    </row>
    <row r="74" spans="1:7" x14ac:dyDescent="0.25">
      <c r="A74" s="1">
        <v>33151</v>
      </c>
      <c r="B74" s="7" t="s">
        <v>244</v>
      </c>
      <c r="C74" s="7" t="s">
        <v>22</v>
      </c>
      <c r="D74" s="7" t="s">
        <v>19</v>
      </c>
      <c r="E74" s="7" t="s">
        <v>36</v>
      </c>
      <c r="F74" s="1" t="s">
        <v>160</v>
      </c>
      <c r="G74" s="1" t="s">
        <v>421</v>
      </c>
    </row>
    <row r="75" spans="1:7" x14ac:dyDescent="0.25">
      <c r="A75" s="1">
        <v>35154</v>
      </c>
      <c r="B75" s="7" t="s">
        <v>258</v>
      </c>
      <c r="C75" s="7" t="s">
        <v>27</v>
      </c>
      <c r="D75" s="7" t="s">
        <v>19</v>
      </c>
      <c r="E75" s="7" t="s">
        <v>42</v>
      </c>
      <c r="F75" s="58" t="s">
        <v>159</v>
      </c>
      <c r="G75" s="1" t="s">
        <v>395</v>
      </c>
    </row>
    <row r="76" spans="1:7" x14ac:dyDescent="0.25">
      <c r="A76" s="42">
        <v>15505</v>
      </c>
      <c r="B76" s="64" t="s">
        <v>222</v>
      </c>
      <c r="C76" s="12" t="s">
        <v>22</v>
      </c>
      <c r="D76" s="7" t="s">
        <v>17</v>
      </c>
      <c r="E76" s="12" t="s">
        <v>40</v>
      </c>
      <c r="F76" s="42" t="s">
        <v>160</v>
      </c>
      <c r="G76" s="1" t="s">
        <v>412</v>
      </c>
    </row>
    <row r="77" spans="1:7" x14ac:dyDescent="0.25">
      <c r="A77" s="1">
        <v>34295</v>
      </c>
      <c r="B77" s="8" t="s">
        <v>273</v>
      </c>
      <c r="C77" s="7" t="s">
        <v>22</v>
      </c>
      <c r="D77" s="7" t="s">
        <v>17</v>
      </c>
      <c r="E77" s="7" t="s">
        <v>40</v>
      </c>
      <c r="F77" s="1" t="s">
        <v>160</v>
      </c>
      <c r="G77" s="1" t="s">
        <v>413</v>
      </c>
    </row>
    <row r="78" spans="1:7" x14ac:dyDescent="0.25">
      <c r="A78" s="1">
        <v>37853</v>
      </c>
      <c r="B78" s="8" t="s">
        <v>284</v>
      </c>
      <c r="C78" s="7" t="s">
        <v>26</v>
      </c>
      <c r="D78" s="7" t="s">
        <v>17</v>
      </c>
      <c r="E78" s="7" t="s">
        <v>39</v>
      </c>
      <c r="F78" s="1" t="s">
        <v>158</v>
      </c>
      <c r="G78" s="1" t="s">
        <v>352</v>
      </c>
    </row>
    <row r="79" spans="1:7" x14ac:dyDescent="0.25">
      <c r="A79" s="42">
        <v>29443</v>
      </c>
      <c r="B79" s="64" t="s">
        <v>211</v>
      </c>
      <c r="C79" s="12" t="s">
        <v>25</v>
      </c>
      <c r="D79" s="12" t="s">
        <v>19</v>
      </c>
      <c r="E79" s="12" t="s">
        <v>45</v>
      </c>
      <c r="F79" s="42" t="s">
        <v>162</v>
      </c>
      <c r="G79" s="1" t="s">
        <v>403</v>
      </c>
    </row>
    <row r="80" spans="1:7" x14ac:dyDescent="0.25">
      <c r="A80" s="1">
        <v>30336</v>
      </c>
      <c r="B80" s="8" t="s">
        <v>265</v>
      </c>
      <c r="C80" s="7" t="s">
        <v>27</v>
      </c>
      <c r="D80" s="7" t="s">
        <v>19</v>
      </c>
      <c r="E80" s="7" t="s">
        <v>42</v>
      </c>
      <c r="F80" s="1" t="s">
        <v>159</v>
      </c>
      <c r="G80" s="1" t="s">
        <v>396</v>
      </c>
    </row>
    <row r="81" spans="1:7" x14ac:dyDescent="0.25">
      <c r="A81" s="42">
        <v>23997</v>
      </c>
      <c r="B81" s="12" t="s">
        <v>245</v>
      </c>
      <c r="C81" s="12" t="s">
        <v>22</v>
      </c>
      <c r="D81" s="7" t="s">
        <v>19</v>
      </c>
      <c r="E81" s="12" t="s">
        <v>36</v>
      </c>
      <c r="F81" s="42" t="s">
        <v>160</v>
      </c>
      <c r="G81" s="1" t="s">
        <v>422</v>
      </c>
    </row>
    <row r="82" spans="1:7" x14ac:dyDescent="0.25">
      <c r="A82" s="1">
        <v>36953</v>
      </c>
      <c r="B82" s="7" t="s">
        <v>281</v>
      </c>
      <c r="C82" s="7" t="s">
        <v>27</v>
      </c>
      <c r="D82" s="7" t="s">
        <v>19</v>
      </c>
      <c r="E82" s="7" t="s">
        <v>42</v>
      </c>
      <c r="F82" s="58" t="s">
        <v>159</v>
      </c>
      <c r="G82" s="1" t="s">
        <v>389</v>
      </c>
    </row>
    <row r="83" spans="1:7" x14ac:dyDescent="0.25">
      <c r="A83" s="1">
        <v>33911</v>
      </c>
      <c r="B83" s="8" t="s">
        <v>263</v>
      </c>
      <c r="C83" s="7" t="s">
        <v>22</v>
      </c>
      <c r="D83" s="7" t="s">
        <v>19</v>
      </c>
      <c r="E83" s="7" t="s">
        <v>36</v>
      </c>
      <c r="F83" s="1" t="s">
        <v>160</v>
      </c>
      <c r="G83" s="1" t="s">
        <v>416</v>
      </c>
    </row>
    <row r="84" spans="1:7" x14ac:dyDescent="0.25">
      <c r="A84" s="1">
        <v>28060</v>
      </c>
      <c r="B84" s="7" t="s">
        <v>224</v>
      </c>
      <c r="C84" s="7" t="s">
        <v>24</v>
      </c>
      <c r="D84" s="7" t="s">
        <v>19</v>
      </c>
      <c r="E84" s="7" t="s">
        <v>44</v>
      </c>
      <c r="F84" s="1" t="s">
        <v>163</v>
      </c>
      <c r="G84" s="1" t="s">
        <v>427</v>
      </c>
    </row>
    <row r="85" spans="1:7" x14ac:dyDescent="0.25">
      <c r="A85" s="1">
        <v>35248</v>
      </c>
      <c r="B85" s="8" t="s">
        <v>275</v>
      </c>
      <c r="C85" s="7" t="s">
        <v>25</v>
      </c>
      <c r="D85" s="7" t="s">
        <v>19</v>
      </c>
      <c r="E85" s="7" t="s">
        <v>45</v>
      </c>
      <c r="F85" s="1" t="s">
        <v>162</v>
      </c>
      <c r="G85" s="1" t="s">
        <v>404</v>
      </c>
    </row>
    <row r="86" spans="1:7" x14ac:dyDescent="0.25">
      <c r="A86" s="1">
        <v>30353</v>
      </c>
      <c r="B86" s="7" t="s">
        <v>209</v>
      </c>
      <c r="C86" s="7" t="s">
        <v>27</v>
      </c>
      <c r="D86" s="7" t="s">
        <v>17</v>
      </c>
      <c r="E86" s="7" t="s">
        <v>37</v>
      </c>
      <c r="F86" s="1" t="s">
        <v>159</v>
      </c>
      <c r="G86" s="1" t="s">
        <v>379</v>
      </c>
    </row>
    <row r="87" spans="1:7" x14ac:dyDescent="0.25">
      <c r="A87" s="1">
        <v>27153</v>
      </c>
      <c r="B87" s="7" t="s">
        <v>219</v>
      </c>
      <c r="C87" s="7" t="s">
        <v>22</v>
      </c>
      <c r="D87" s="7" t="s">
        <v>19</v>
      </c>
      <c r="E87" s="7" t="s">
        <v>36</v>
      </c>
      <c r="F87" s="1" t="s">
        <v>160</v>
      </c>
      <c r="G87" s="1" t="s">
        <v>423</v>
      </c>
    </row>
    <row r="88" spans="1:7" x14ac:dyDescent="0.25">
      <c r="A88" s="1">
        <v>33955</v>
      </c>
      <c r="B88" s="8" t="s">
        <v>239</v>
      </c>
      <c r="C88" s="7" t="s">
        <v>23</v>
      </c>
      <c r="D88" s="7" t="s">
        <v>19</v>
      </c>
      <c r="E88" s="7" t="s">
        <v>43</v>
      </c>
      <c r="F88" s="1" t="s">
        <v>161</v>
      </c>
      <c r="G88" s="1" t="s">
        <v>345</v>
      </c>
    </row>
    <row r="89" spans="1:7" x14ac:dyDescent="0.25">
      <c r="A89" s="1">
        <v>26351</v>
      </c>
      <c r="B89" s="8" t="s">
        <v>213</v>
      </c>
      <c r="C89" s="7" t="s">
        <v>22</v>
      </c>
      <c r="D89" s="7" t="s">
        <v>17</v>
      </c>
      <c r="E89" s="7" t="s">
        <v>40</v>
      </c>
      <c r="F89" s="1" t="s">
        <v>160</v>
      </c>
      <c r="G89" s="1" t="s">
        <v>414</v>
      </c>
    </row>
    <row r="90" spans="1:7" x14ac:dyDescent="0.25">
      <c r="A90" s="1">
        <v>33068</v>
      </c>
      <c r="B90" s="7" t="s">
        <v>227</v>
      </c>
      <c r="C90" s="7" t="s">
        <v>27</v>
      </c>
      <c r="D90" s="7" t="s">
        <v>17</v>
      </c>
      <c r="E90" s="7" t="s">
        <v>37</v>
      </c>
      <c r="F90" s="1" t="s">
        <v>159</v>
      </c>
      <c r="G90" s="1" t="s">
        <v>380</v>
      </c>
    </row>
    <row r="91" spans="1:7" x14ac:dyDescent="0.25">
      <c r="A91" s="1">
        <v>31118</v>
      </c>
      <c r="B91" s="7" t="s">
        <v>463</v>
      </c>
      <c r="C91" s="7" t="s">
        <v>22</v>
      </c>
      <c r="D91" s="7" t="s">
        <v>19</v>
      </c>
      <c r="E91" s="7" t="str">
        <f>C91&amp;D91</f>
        <v>JuniperSuper Premium</v>
      </c>
      <c r="F91" s="1" t="s">
        <v>160</v>
      </c>
      <c r="G91" s="1" t="s">
        <v>449</v>
      </c>
    </row>
    <row r="92" spans="1:7" x14ac:dyDescent="0.25">
      <c r="A92" s="1">
        <v>25011</v>
      </c>
      <c r="B92" s="7" t="s">
        <v>464</v>
      </c>
      <c r="C92" s="7" t="s">
        <v>22</v>
      </c>
      <c r="D92" s="7" t="s">
        <v>19</v>
      </c>
      <c r="E92" s="7" t="str">
        <f>C92&amp;D92</f>
        <v>JuniperSuper Premium</v>
      </c>
      <c r="F92" s="1" t="s">
        <v>160</v>
      </c>
      <c r="G92" s="1" t="s">
        <v>448</v>
      </c>
    </row>
    <row r="93" spans="1:7" x14ac:dyDescent="0.25">
      <c r="A93" s="1">
        <v>31691</v>
      </c>
      <c r="B93" s="8" t="s">
        <v>259</v>
      </c>
      <c r="C93" s="7" t="s">
        <v>23</v>
      </c>
      <c r="D93" s="7" t="s">
        <v>17</v>
      </c>
      <c r="E93" s="7" t="s">
        <v>41</v>
      </c>
      <c r="F93" s="1" t="s">
        <v>161</v>
      </c>
      <c r="G93" s="1" t="s">
        <v>335</v>
      </c>
    </row>
    <row r="94" spans="1:7" x14ac:dyDescent="0.25">
      <c r="A94" s="1">
        <v>37625</v>
      </c>
      <c r="B94" s="7" t="s">
        <v>261</v>
      </c>
      <c r="C94" s="7" t="s">
        <v>27</v>
      </c>
      <c r="D94" s="7" t="s">
        <v>17</v>
      </c>
      <c r="E94" s="7" t="s">
        <v>37</v>
      </c>
      <c r="F94" s="1" t="s">
        <v>159</v>
      </c>
      <c r="G94" s="1" t="s">
        <v>381</v>
      </c>
    </row>
    <row r="95" spans="1:7" x14ac:dyDescent="0.25">
      <c r="A95" s="1">
        <v>33077</v>
      </c>
      <c r="B95" s="7" t="s">
        <v>206</v>
      </c>
      <c r="C95" s="7" t="s">
        <v>27</v>
      </c>
      <c r="D95" s="7" t="s">
        <v>17</v>
      </c>
      <c r="E95" s="7" t="s">
        <v>37</v>
      </c>
      <c r="F95" s="1" t="s">
        <v>159</v>
      </c>
      <c r="G95" s="1" t="s">
        <v>382</v>
      </c>
    </row>
    <row r="96" spans="1:7" x14ac:dyDescent="0.25">
      <c r="A96" s="1">
        <v>29488</v>
      </c>
      <c r="B96" s="8" t="s">
        <v>173</v>
      </c>
      <c r="C96" s="7" t="s">
        <v>23</v>
      </c>
      <c r="D96" s="7" t="s">
        <v>19</v>
      </c>
      <c r="E96" s="7" t="s">
        <v>43</v>
      </c>
      <c r="F96" s="1" t="s">
        <v>161</v>
      </c>
      <c r="G96" s="1" t="s">
        <v>346</v>
      </c>
    </row>
    <row r="97" spans="1:9" x14ac:dyDescent="0.25">
      <c r="A97" s="42">
        <v>36219</v>
      </c>
      <c r="B97" s="64" t="s">
        <v>207</v>
      </c>
      <c r="C97" s="12" t="s">
        <v>23</v>
      </c>
      <c r="D97" s="12" t="s">
        <v>17</v>
      </c>
      <c r="E97" s="12" t="s">
        <v>41</v>
      </c>
      <c r="F97" s="42" t="s">
        <v>161</v>
      </c>
      <c r="G97" s="1" t="s">
        <v>336</v>
      </c>
    </row>
    <row r="98" spans="1:9" x14ac:dyDescent="0.25">
      <c r="A98" s="1">
        <v>15495</v>
      </c>
      <c r="B98" s="8" t="s">
        <v>199</v>
      </c>
      <c r="C98" s="7" t="s">
        <v>22</v>
      </c>
      <c r="D98" s="7" t="s">
        <v>17</v>
      </c>
      <c r="E98" s="7" t="s">
        <v>40</v>
      </c>
      <c r="F98" s="1" t="s">
        <v>160</v>
      </c>
      <c r="G98" s="1" t="s">
        <v>415</v>
      </c>
    </row>
    <row r="99" spans="1:9" s="14" customFormat="1" x14ac:dyDescent="0.25">
      <c r="A99" s="14">
        <v>15513</v>
      </c>
      <c r="B99" s="63" t="s">
        <v>204</v>
      </c>
      <c r="C99" s="9" t="s">
        <v>23</v>
      </c>
      <c r="D99" s="7" t="s">
        <v>19</v>
      </c>
      <c r="E99" s="9" t="s">
        <v>43</v>
      </c>
      <c r="F99" s="14" t="s">
        <v>161</v>
      </c>
      <c r="G99" s="1" t="s">
        <v>347</v>
      </c>
      <c r="H99" s="1"/>
      <c r="I99" s="1"/>
    </row>
    <row r="100" spans="1:9" x14ac:dyDescent="0.25">
      <c r="A100" s="1">
        <v>24997</v>
      </c>
      <c r="B100" s="8" t="s">
        <v>236</v>
      </c>
      <c r="C100" s="7" t="s">
        <v>23</v>
      </c>
      <c r="D100" s="7" t="s">
        <v>17</v>
      </c>
      <c r="E100" s="7" t="s">
        <v>41</v>
      </c>
      <c r="F100" s="1" t="s">
        <v>161</v>
      </c>
      <c r="G100" s="1" t="s">
        <v>337</v>
      </c>
    </row>
    <row r="101" spans="1:9" x14ac:dyDescent="0.25">
      <c r="A101" s="1">
        <v>31117</v>
      </c>
      <c r="B101" s="8" t="s">
        <v>248</v>
      </c>
      <c r="C101" s="7" t="s">
        <v>26</v>
      </c>
      <c r="D101" s="7" t="s">
        <v>19</v>
      </c>
      <c r="E101" s="7" t="s">
        <v>35</v>
      </c>
      <c r="F101" s="1" t="s">
        <v>158</v>
      </c>
      <c r="G101" s="1" t="s">
        <v>358</v>
      </c>
    </row>
    <row r="102" spans="1:9" x14ac:dyDescent="0.25">
      <c r="A102" s="1">
        <v>28609</v>
      </c>
      <c r="B102" s="8" t="s">
        <v>174</v>
      </c>
      <c r="C102" s="7" t="s">
        <v>26</v>
      </c>
      <c r="D102" s="7" t="s">
        <v>19</v>
      </c>
      <c r="E102" s="7" t="s">
        <v>35</v>
      </c>
      <c r="F102" s="1" t="s">
        <v>158</v>
      </c>
      <c r="G102" s="1" t="s">
        <v>359</v>
      </c>
    </row>
    <row r="103" spans="1:9" x14ac:dyDescent="0.25">
      <c r="A103" s="1">
        <v>34130</v>
      </c>
      <c r="B103" s="7" t="s">
        <v>268</v>
      </c>
      <c r="C103" s="7" t="s">
        <v>22</v>
      </c>
      <c r="D103" s="7" t="s">
        <v>19</v>
      </c>
      <c r="E103" s="7" t="s">
        <v>36</v>
      </c>
      <c r="F103" s="1" t="s">
        <v>160</v>
      </c>
      <c r="G103" s="1" t="s">
        <v>424</v>
      </c>
    </row>
    <row r="104" spans="1:9" x14ac:dyDescent="0.25">
      <c r="A104" s="1">
        <v>31540</v>
      </c>
      <c r="B104" s="8" t="s">
        <v>231</v>
      </c>
      <c r="C104" s="7" t="s">
        <v>27</v>
      </c>
      <c r="D104" s="7" t="s">
        <v>19</v>
      </c>
      <c r="E104" s="7" t="s">
        <v>42</v>
      </c>
      <c r="F104" s="1" t="s">
        <v>159</v>
      </c>
      <c r="G104" s="1" t="s">
        <v>397</v>
      </c>
    </row>
    <row r="105" spans="1:9" x14ac:dyDescent="0.25">
      <c r="A105" s="1">
        <v>31108</v>
      </c>
      <c r="B105" s="8" t="s">
        <v>274</v>
      </c>
      <c r="C105" s="7" t="s">
        <v>25</v>
      </c>
      <c r="D105" s="7" t="s">
        <v>19</v>
      </c>
      <c r="E105" s="7" t="s">
        <v>45</v>
      </c>
      <c r="F105" s="1" t="s">
        <v>162</v>
      </c>
      <c r="G105" s="1" t="s">
        <v>405</v>
      </c>
    </row>
    <row r="106" spans="1:9" x14ac:dyDescent="0.25">
      <c r="A106" s="1">
        <v>38064</v>
      </c>
      <c r="B106" s="8" t="s">
        <v>283</v>
      </c>
      <c r="C106" s="7" t="s">
        <v>27</v>
      </c>
      <c r="D106" s="7" t="s">
        <v>19</v>
      </c>
      <c r="E106" s="7" t="s">
        <v>42</v>
      </c>
      <c r="F106" s="1" t="s">
        <v>159</v>
      </c>
      <c r="G106" s="1" t="s">
        <v>398</v>
      </c>
    </row>
    <row r="107" spans="1:9" x14ac:dyDescent="0.25">
      <c r="A107" s="42">
        <v>31495</v>
      </c>
      <c r="B107" s="64" t="s">
        <v>203</v>
      </c>
      <c r="C107" s="12" t="s">
        <v>27</v>
      </c>
      <c r="D107" s="7" t="s">
        <v>19</v>
      </c>
      <c r="E107" s="12" t="s">
        <v>42</v>
      </c>
      <c r="F107" s="42" t="s">
        <v>159</v>
      </c>
      <c r="G107" s="1" t="s">
        <v>399</v>
      </c>
    </row>
    <row r="108" spans="1:9" x14ac:dyDescent="0.25">
      <c r="A108" s="1">
        <v>33951</v>
      </c>
      <c r="B108" s="8" t="s">
        <v>277</v>
      </c>
      <c r="C108" s="7" t="s">
        <v>27</v>
      </c>
      <c r="D108" s="7" t="s">
        <v>19</v>
      </c>
      <c r="E108" s="7" t="s">
        <v>42</v>
      </c>
      <c r="F108" s="1" t="s">
        <v>159</v>
      </c>
      <c r="G108" s="1" t="s">
        <v>400</v>
      </c>
    </row>
    <row r="109" spans="1:9" x14ac:dyDescent="0.25">
      <c r="A109" s="1">
        <v>38714</v>
      </c>
      <c r="B109" s="7" t="s">
        <v>196</v>
      </c>
      <c r="C109" s="7" t="s">
        <v>27</v>
      </c>
      <c r="D109" s="7" t="s">
        <v>17</v>
      </c>
      <c r="E109" s="7" t="s">
        <v>37</v>
      </c>
      <c r="F109" s="58" t="s">
        <v>159</v>
      </c>
      <c r="G109" s="1" t="s">
        <v>383</v>
      </c>
    </row>
    <row r="110" spans="1:9" x14ac:dyDescent="0.25">
      <c r="A110" s="1">
        <v>36250</v>
      </c>
      <c r="B110" s="7" t="s">
        <v>217</v>
      </c>
      <c r="C110" s="7" t="s">
        <v>27</v>
      </c>
      <c r="D110" s="7" t="s">
        <v>17</v>
      </c>
      <c r="E110" s="7" t="s">
        <v>37</v>
      </c>
      <c r="F110" s="1" t="s">
        <v>159</v>
      </c>
      <c r="G110" s="1" t="s">
        <v>384</v>
      </c>
    </row>
    <row r="111" spans="1:9" x14ac:dyDescent="0.25">
      <c r="A111" s="1">
        <v>31638</v>
      </c>
      <c r="B111" s="8" t="s">
        <v>230</v>
      </c>
      <c r="C111" s="7" t="s">
        <v>23</v>
      </c>
      <c r="D111" s="7" t="s">
        <v>17</v>
      </c>
      <c r="E111" s="7" t="s">
        <v>41</v>
      </c>
      <c r="F111" s="1" t="s">
        <v>161</v>
      </c>
      <c r="G111" s="1" t="s">
        <v>338</v>
      </c>
    </row>
    <row r="112" spans="1:9" x14ac:dyDescent="0.25">
      <c r="A112" s="1">
        <v>72130</v>
      </c>
      <c r="B112" s="7" t="s">
        <v>243</v>
      </c>
      <c r="C112" s="7" t="s">
        <v>27</v>
      </c>
      <c r="D112" s="7" t="s">
        <v>17</v>
      </c>
      <c r="E112" s="7" t="s">
        <v>37</v>
      </c>
      <c r="F112" s="1" t="s">
        <v>159</v>
      </c>
      <c r="G112" s="1" t="s">
        <v>385</v>
      </c>
    </row>
    <row r="113" spans="1:7" x14ac:dyDescent="0.25">
      <c r="A113" s="1">
        <v>34203</v>
      </c>
      <c r="B113" s="7" t="s">
        <v>235</v>
      </c>
      <c r="C113" s="7" t="s">
        <v>27</v>
      </c>
      <c r="D113" s="7" t="s">
        <v>17</v>
      </c>
      <c r="E113" s="7" t="s">
        <v>37</v>
      </c>
      <c r="F113" s="1" t="s">
        <v>159</v>
      </c>
      <c r="G113" s="1" t="s">
        <v>386</v>
      </c>
    </row>
    <row r="114" spans="1:7" x14ac:dyDescent="0.25">
      <c r="A114" s="1">
        <v>35584</v>
      </c>
      <c r="B114" s="7" t="s">
        <v>210</v>
      </c>
      <c r="C114" s="7" t="s">
        <v>27</v>
      </c>
      <c r="D114" s="7" t="s">
        <v>17</v>
      </c>
      <c r="E114" s="7" t="s">
        <v>37</v>
      </c>
      <c r="F114" s="1" t="s">
        <v>159</v>
      </c>
      <c r="G114" s="1" t="s">
        <v>387</v>
      </c>
    </row>
    <row r="115" spans="1:7" x14ac:dyDescent="0.25">
      <c r="A115" s="1">
        <v>34628</v>
      </c>
      <c r="B115" s="7" t="s">
        <v>202</v>
      </c>
      <c r="C115" s="7" t="s">
        <v>27</v>
      </c>
      <c r="D115" s="7" t="s">
        <v>17</v>
      </c>
      <c r="E115" s="7" t="s">
        <v>37</v>
      </c>
      <c r="F115" s="1" t="s">
        <v>159</v>
      </c>
      <c r="G115" s="1" t="s">
        <v>388</v>
      </c>
    </row>
    <row r="116" spans="1:7" x14ac:dyDescent="0.25">
      <c r="A116" s="1">
        <v>34738</v>
      </c>
      <c r="B116" s="7" t="s">
        <v>319</v>
      </c>
      <c r="C116" s="7" t="s">
        <v>27</v>
      </c>
      <c r="D116" s="7" t="s">
        <v>17</v>
      </c>
      <c r="E116" s="7" t="str">
        <f>C116&amp;D116</f>
        <v>FruitPremium</v>
      </c>
      <c r="F116" s="1" t="s">
        <v>159</v>
      </c>
      <c r="G116" s="1" t="s">
        <v>447</v>
      </c>
    </row>
    <row r="117" spans="1:7" x14ac:dyDescent="0.25">
      <c r="A117" s="1">
        <v>36949</v>
      </c>
      <c r="B117" s="7" t="s">
        <v>318</v>
      </c>
      <c r="C117" s="7" t="s">
        <v>27</v>
      </c>
      <c r="D117" s="7" t="s">
        <v>17</v>
      </c>
      <c r="E117" s="7" t="str">
        <f>C117&amp;D117</f>
        <v>FruitPremium</v>
      </c>
      <c r="F117" s="1" t="s">
        <v>159</v>
      </c>
      <c r="G117" s="1" t="s">
        <v>446</v>
      </c>
    </row>
    <row r="118" spans="1:7" x14ac:dyDescent="0.25">
      <c r="B118" s="7" t="s">
        <v>301</v>
      </c>
      <c r="C118" s="7" t="s">
        <v>23</v>
      </c>
      <c r="D118" s="7" t="s">
        <v>15</v>
      </c>
      <c r="E118" s="7" t="s">
        <v>49</v>
      </c>
      <c r="F118" s="1" t="s">
        <v>306</v>
      </c>
      <c r="G118" s="1" t="s">
        <v>428</v>
      </c>
    </row>
    <row r="119" spans="1:7" x14ac:dyDescent="0.25">
      <c r="B119" s="7" t="s">
        <v>290</v>
      </c>
      <c r="C119" s="7" t="s">
        <v>23</v>
      </c>
      <c r="D119" s="7" t="s">
        <v>17</v>
      </c>
      <c r="E119" s="7" t="s">
        <v>41</v>
      </c>
      <c r="F119" s="1" t="s">
        <v>306</v>
      </c>
      <c r="G119" s="1" t="s">
        <v>429</v>
      </c>
    </row>
    <row r="120" spans="1:7" x14ac:dyDescent="0.25">
      <c r="B120" s="7" t="s">
        <v>296</v>
      </c>
      <c r="C120" s="7" t="s">
        <v>23</v>
      </c>
      <c r="D120" s="7" t="s">
        <v>19</v>
      </c>
      <c r="E120" s="7" t="s">
        <v>43</v>
      </c>
      <c r="F120" s="1" t="s">
        <v>306</v>
      </c>
      <c r="G120" s="1" t="s">
        <v>430</v>
      </c>
    </row>
    <row r="121" spans="1:7" x14ac:dyDescent="0.25">
      <c r="B121" s="7" t="s">
        <v>302</v>
      </c>
      <c r="C121" s="7" t="s">
        <v>26</v>
      </c>
      <c r="D121" s="7" t="s">
        <v>15</v>
      </c>
      <c r="E121" s="7" t="s">
        <v>50</v>
      </c>
      <c r="F121" s="1" t="s">
        <v>285</v>
      </c>
      <c r="G121" s="1" t="s">
        <v>431</v>
      </c>
    </row>
    <row r="122" spans="1:7" x14ac:dyDescent="0.25">
      <c r="B122" s="7" t="s">
        <v>293</v>
      </c>
      <c r="C122" s="7" t="s">
        <v>26</v>
      </c>
      <c r="D122" s="7" t="s">
        <v>17</v>
      </c>
      <c r="E122" s="7" t="s">
        <v>39</v>
      </c>
      <c r="F122" s="1" t="s">
        <v>285</v>
      </c>
      <c r="G122" s="1" t="s">
        <v>432</v>
      </c>
    </row>
    <row r="123" spans="1:7" x14ac:dyDescent="0.25">
      <c r="B123" s="7" t="s">
        <v>299</v>
      </c>
      <c r="C123" s="7" t="s">
        <v>26</v>
      </c>
      <c r="D123" s="7" t="s">
        <v>19</v>
      </c>
      <c r="E123" s="7" t="s">
        <v>35</v>
      </c>
      <c r="F123" s="1" t="s">
        <v>285</v>
      </c>
      <c r="G123" s="1" t="s">
        <v>433</v>
      </c>
    </row>
    <row r="124" spans="1:7" x14ac:dyDescent="0.25">
      <c r="B124" s="7" t="s">
        <v>303</v>
      </c>
      <c r="C124" s="7" t="s">
        <v>27</v>
      </c>
      <c r="D124" s="7" t="s">
        <v>15</v>
      </c>
      <c r="E124" s="7" t="s">
        <v>46</v>
      </c>
      <c r="F124" s="1" t="s">
        <v>159</v>
      </c>
      <c r="G124" s="1" t="s">
        <v>434</v>
      </c>
    </row>
    <row r="125" spans="1:7" x14ac:dyDescent="0.25">
      <c r="B125" s="7" t="s">
        <v>294</v>
      </c>
      <c r="C125" s="7" t="s">
        <v>27</v>
      </c>
      <c r="D125" s="7" t="s">
        <v>17</v>
      </c>
      <c r="E125" s="7" t="s">
        <v>37</v>
      </c>
      <c r="F125" s="1" t="s">
        <v>159</v>
      </c>
      <c r="G125" s="1" t="s">
        <v>435</v>
      </c>
    </row>
    <row r="126" spans="1:7" x14ac:dyDescent="0.25">
      <c r="B126" s="7" t="s">
        <v>300</v>
      </c>
      <c r="C126" s="7" t="s">
        <v>27</v>
      </c>
      <c r="D126" s="7" t="s">
        <v>19</v>
      </c>
      <c r="E126" s="7" t="s">
        <v>42</v>
      </c>
      <c r="F126" s="1" t="s">
        <v>159</v>
      </c>
      <c r="G126" s="1" t="s">
        <v>436</v>
      </c>
    </row>
    <row r="127" spans="1:7" x14ac:dyDescent="0.25">
      <c r="B127" s="7" t="s">
        <v>304</v>
      </c>
      <c r="C127" s="7" t="s">
        <v>25</v>
      </c>
      <c r="D127" s="7" t="s">
        <v>15</v>
      </c>
      <c r="E127" s="7" t="s">
        <v>51</v>
      </c>
      <c r="F127" s="1" t="s">
        <v>162</v>
      </c>
      <c r="G127" s="1" t="s">
        <v>437</v>
      </c>
    </row>
    <row r="128" spans="1:7" x14ac:dyDescent="0.25">
      <c r="B128" s="7" t="s">
        <v>292</v>
      </c>
      <c r="C128" s="7" t="s">
        <v>25</v>
      </c>
      <c r="D128" s="7" t="s">
        <v>17</v>
      </c>
      <c r="E128" s="7" t="s">
        <v>47</v>
      </c>
      <c r="F128" s="1" t="s">
        <v>162</v>
      </c>
      <c r="G128" s="1" t="s">
        <v>438</v>
      </c>
    </row>
    <row r="129" spans="2:7" x14ac:dyDescent="0.25">
      <c r="B129" s="7" t="s">
        <v>298</v>
      </c>
      <c r="C129" s="7" t="s">
        <v>25</v>
      </c>
      <c r="D129" s="7" t="s">
        <v>19</v>
      </c>
      <c r="E129" s="7" t="s">
        <v>45</v>
      </c>
      <c r="F129" s="1" t="s">
        <v>162</v>
      </c>
      <c r="G129" s="1" t="s">
        <v>439</v>
      </c>
    </row>
    <row r="130" spans="2:7" x14ac:dyDescent="0.25">
      <c r="B130" s="7" t="s">
        <v>288</v>
      </c>
      <c r="C130" s="7" t="s">
        <v>22</v>
      </c>
      <c r="D130" s="7" t="s">
        <v>15</v>
      </c>
      <c r="E130" s="7" t="s">
        <v>38</v>
      </c>
      <c r="F130" s="1" t="s">
        <v>160</v>
      </c>
      <c r="G130" s="1" t="s">
        <v>440</v>
      </c>
    </row>
    <row r="131" spans="2:7" x14ac:dyDescent="0.25">
      <c r="B131" s="7" t="s">
        <v>289</v>
      </c>
      <c r="C131" s="7" t="s">
        <v>22</v>
      </c>
      <c r="D131" s="7" t="s">
        <v>17</v>
      </c>
      <c r="E131" s="7" t="s">
        <v>40</v>
      </c>
      <c r="F131" s="1" t="s">
        <v>160</v>
      </c>
      <c r="G131" s="1" t="s">
        <v>441</v>
      </c>
    </row>
    <row r="132" spans="2:7" x14ac:dyDescent="0.25">
      <c r="B132" s="7" t="s">
        <v>295</v>
      </c>
      <c r="C132" s="7" t="s">
        <v>22</v>
      </c>
      <c r="D132" s="7" t="s">
        <v>19</v>
      </c>
      <c r="E132" s="7" t="s">
        <v>36</v>
      </c>
      <c r="F132" s="1" t="s">
        <v>160</v>
      </c>
      <c r="G132" s="1" t="s">
        <v>442</v>
      </c>
    </row>
    <row r="133" spans="2:7" x14ac:dyDescent="0.25">
      <c r="B133" s="7" t="s">
        <v>305</v>
      </c>
      <c r="C133" s="7" t="s">
        <v>24</v>
      </c>
      <c r="D133" s="7" t="s">
        <v>15</v>
      </c>
      <c r="E133" s="7" t="s">
        <v>52</v>
      </c>
      <c r="F133" s="1" t="s">
        <v>163</v>
      </c>
      <c r="G133" s="1" t="s">
        <v>443</v>
      </c>
    </row>
    <row r="134" spans="2:7" x14ac:dyDescent="0.25">
      <c r="B134" s="7" t="s">
        <v>291</v>
      </c>
      <c r="C134" s="7" t="s">
        <v>24</v>
      </c>
      <c r="D134" s="7" t="s">
        <v>17</v>
      </c>
      <c r="E134" s="7" t="s">
        <v>48</v>
      </c>
      <c r="F134" s="1" t="s">
        <v>163</v>
      </c>
      <c r="G134" s="1" t="s">
        <v>444</v>
      </c>
    </row>
    <row r="135" spans="2:7" x14ac:dyDescent="0.25">
      <c r="B135" s="7" t="s">
        <v>297</v>
      </c>
      <c r="C135" s="7" t="s">
        <v>24</v>
      </c>
      <c r="D135" s="7" t="s">
        <v>19</v>
      </c>
      <c r="E135" s="7" t="s">
        <v>44</v>
      </c>
      <c r="F135" s="1" t="s">
        <v>163</v>
      </c>
      <c r="G135" s="1" t="s">
        <v>445</v>
      </c>
    </row>
    <row r="136" spans="2:7" x14ac:dyDescent="0.25">
      <c r="B136" s="59" t="s">
        <v>309</v>
      </c>
    </row>
  </sheetData>
  <autoFilter ref="A1:G136">
    <sortState ref="A2:G136">
      <sortCondition ref="G1:G136"/>
    </sortState>
  </autoFilter>
  <conditionalFormatting sqref="B118:B124">
    <cfRule type="duplicateValues" dxfId="4" priority="1"/>
  </conditionalFormatting>
  <pageMargins left="0.7" right="0.7" top="0.75" bottom="0.75" header="0.3" footer="0.3"/>
  <pageSetup paperSize="21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3"/>
  <sheetViews>
    <sheetView workbookViewId="0">
      <selection activeCell="H26" sqref="H26"/>
    </sheetView>
  </sheetViews>
  <sheetFormatPr defaultRowHeight="15" x14ac:dyDescent="0.25"/>
  <cols>
    <col min="2" max="3" width="30.7109375" customWidth="1"/>
  </cols>
  <sheetData>
    <row r="1" spans="1:43" x14ac:dyDescent="0.25">
      <c r="A1" t="s">
        <v>124</v>
      </c>
      <c r="B1" t="s">
        <v>34</v>
      </c>
      <c r="C1" t="s">
        <v>31</v>
      </c>
      <c r="E1">
        <v>1</v>
      </c>
      <c r="G1">
        <v>2</v>
      </c>
      <c r="I1">
        <v>3</v>
      </c>
      <c r="K1">
        <v>4</v>
      </c>
      <c r="M1">
        <v>5</v>
      </c>
      <c r="O1">
        <v>6</v>
      </c>
      <c r="Q1">
        <v>7</v>
      </c>
      <c r="S1">
        <v>8</v>
      </c>
      <c r="U1">
        <v>9</v>
      </c>
      <c r="W1">
        <v>10</v>
      </c>
      <c r="Y1">
        <v>11</v>
      </c>
      <c r="AA1">
        <v>12</v>
      </c>
      <c r="AC1">
        <v>13</v>
      </c>
      <c r="AE1">
        <v>14</v>
      </c>
      <c r="AG1">
        <v>15</v>
      </c>
      <c r="AI1">
        <v>16</v>
      </c>
      <c r="AK1">
        <v>17</v>
      </c>
      <c r="AM1">
        <v>18</v>
      </c>
      <c r="AO1">
        <v>19</v>
      </c>
      <c r="AQ1">
        <v>20</v>
      </c>
    </row>
    <row r="2" spans="1:43" x14ac:dyDescent="0.25">
      <c r="A2">
        <v>1</v>
      </c>
      <c r="B2" t="s">
        <v>49</v>
      </c>
      <c r="C2" t="s">
        <v>197</v>
      </c>
      <c r="E2" t="s">
        <v>49</v>
      </c>
      <c r="F2" t="s">
        <v>197</v>
      </c>
      <c r="G2" t="s">
        <v>46</v>
      </c>
      <c r="H2" t="s">
        <v>201</v>
      </c>
      <c r="I2" t="s">
        <v>46</v>
      </c>
      <c r="J2" t="s">
        <v>205</v>
      </c>
      <c r="K2" t="s">
        <v>37</v>
      </c>
      <c r="L2" t="s">
        <v>209</v>
      </c>
      <c r="M2" t="s">
        <v>37</v>
      </c>
      <c r="N2" t="s">
        <v>210</v>
      </c>
      <c r="O2" t="s">
        <v>37</v>
      </c>
      <c r="P2" t="s">
        <v>217</v>
      </c>
      <c r="S2" t="s">
        <v>37</v>
      </c>
      <c r="T2" t="s">
        <v>235</v>
      </c>
      <c r="U2" t="s">
        <v>37</v>
      </c>
      <c r="V2" t="s">
        <v>241</v>
      </c>
      <c r="W2" t="s">
        <v>37</v>
      </c>
      <c r="X2" t="s">
        <v>243</v>
      </c>
      <c r="Y2" t="s">
        <v>37</v>
      </c>
      <c r="Z2" t="s">
        <v>250</v>
      </c>
      <c r="AA2" t="s">
        <v>37</v>
      </c>
      <c r="AB2" t="s">
        <v>251</v>
      </c>
      <c r="AC2" t="s">
        <v>37</v>
      </c>
      <c r="AD2" t="s">
        <v>261</v>
      </c>
      <c r="AE2" t="s">
        <v>37</v>
      </c>
      <c r="AF2" t="s">
        <v>266</v>
      </c>
      <c r="AG2" t="s">
        <v>37</v>
      </c>
      <c r="AH2" t="s">
        <v>272</v>
      </c>
      <c r="AI2" t="s">
        <v>37</v>
      </c>
      <c r="AJ2" t="s">
        <v>276</v>
      </c>
      <c r="AK2" t="s">
        <v>37</v>
      </c>
      <c r="AL2" t="s">
        <v>194</v>
      </c>
      <c r="AM2" t="s">
        <v>37</v>
      </c>
      <c r="AN2" t="s">
        <v>196</v>
      </c>
      <c r="AO2" t="s">
        <v>49</v>
      </c>
      <c r="AP2" t="s">
        <v>301</v>
      </c>
    </row>
    <row r="3" spans="1:43" x14ac:dyDescent="0.25">
      <c r="A3">
        <v>1</v>
      </c>
      <c r="B3" t="s">
        <v>41</v>
      </c>
      <c r="C3" t="s">
        <v>165</v>
      </c>
      <c r="E3" t="s">
        <v>41</v>
      </c>
      <c r="F3" t="s">
        <v>165</v>
      </c>
      <c r="G3" t="s">
        <v>42</v>
      </c>
      <c r="H3" t="s">
        <v>166</v>
      </c>
      <c r="I3" t="s">
        <v>37</v>
      </c>
      <c r="J3" t="s">
        <v>208</v>
      </c>
      <c r="K3" t="s">
        <v>46</v>
      </c>
      <c r="L3" t="s">
        <v>212</v>
      </c>
      <c r="M3" t="s">
        <v>46</v>
      </c>
      <c r="N3" t="s">
        <v>215</v>
      </c>
      <c r="O3" t="s">
        <v>46</v>
      </c>
      <c r="P3" t="s">
        <v>218</v>
      </c>
      <c r="S3" t="s">
        <v>46</v>
      </c>
      <c r="T3" t="s">
        <v>242</v>
      </c>
      <c r="U3" t="s">
        <v>46</v>
      </c>
      <c r="V3" t="s">
        <v>254</v>
      </c>
      <c r="W3" t="s">
        <v>46</v>
      </c>
      <c r="X3" t="s">
        <v>257</v>
      </c>
      <c r="Y3" t="s">
        <v>42</v>
      </c>
      <c r="Z3" t="s">
        <v>282</v>
      </c>
      <c r="AA3" t="s">
        <v>42</v>
      </c>
      <c r="AB3" t="s">
        <v>283</v>
      </c>
      <c r="AO3" t="s">
        <v>41</v>
      </c>
      <c r="AP3" t="s">
        <v>290</v>
      </c>
    </row>
    <row r="4" spans="1:43" x14ac:dyDescent="0.25">
      <c r="A4">
        <v>1</v>
      </c>
      <c r="B4" t="s">
        <v>46</v>
      </c>
      <c r="C4" t="s">
        <v>198</v>
      </c>
      <c r="E4" t="s">
        <v>46</v>
      </c>
      <c r="F4" t="s">
        <v>198</v>
      </c>
      <c r="G4" t="s">
        <v>37</v>
      </c>
      <c r="H4" t="s">
        <v>206</v>
      </c>
      <c r="I4" t="s">
        <v>38</v>
      </c>
      <c r="J4" t="s">
        <v>216</v>
      </c>
      <c r="K4" t="s">
        <v>35</v>
      </c>
      <c r="L4" t="s">
        <v>168</v>
      </c>
      <c r="M4" t="s">
        <v>35</v>
      </c>
      <c r="N4" t="s">
        <v>228</v>
      </c>
      <c r="O4" t="s">
        <v>35</v>
      </c>
      <c r="P4" t="s">
        <v>232</v>
      </c>
      <c r="S4" t="s">
        <v>35</v>
      </c>
      <c r="T4" t="s">
        <v>248</v>
      </c>
      <c r="U4" t="s">
        <v>36</v>
      </c>
      <c r="V4" t="s">
        <v>264</v>
      </c>
      <c r="W4" t="s">
        <v>36</v>
      </c>
      <c r="X4" t="s">
        <v>268</v>
      </c>
      <c r="AO4" t="s">
        <v>43</v>
      </c>
      <c r="AP4" t="s">
        <v>296</v>
      </c>
    </row>
    <row r="5" spans="1:43" x14ac:dyDescent="0.25">
      <c r="A5">
        <v>1</v>
      </c>
      <c r="B5" t="s">
        <v>40</v>
      </c>
      <c r="C5" t="s">
        <v>199</v>
      </c>
      <c r="E5" t="s">
        <v>40</v>
      </c>
      <c r="F5" t="s">
        <v>199</v>
      </c>
      <c r="G5" t="s">
        <v>41</v>
      </c>
      <c r="H5" t="s">
        <v>207</v>
      </c>
      <c r="I5" t="s">
        <v>41</v>
      </c>
      <c r="J5" t="s">
        <v>167</v>
      </c>
      <c r="K5" t="s">
        <v>43</v>
      </c>
      <c r="L5" t="s">
        <v>173</v>
      </c>
      <c r="M5" t="s">
        <v>41</v>
      </c>
      <c r="N5" t="s">
        <v>236</v>
      </c>
      <c r="O5" t="s">
        <v>41</v>
      </c>
      <c r="P5" t="s">
        <v>238</v>
      </c>
      <c r="S5" t="s">
        <v>41</v>
      </c>
      <c r="T5" t="s">
        <v>259</v>
      </c>
      <c r="U5" t="s">
        <v>41</v>
      </c>
      <c r="V5" t="s">
        <v>269</v>
      </c>
      <c r="W5" t="s">
        <v>41</v>
      </c>
      <c r="X5" t="s">
        <v>164</v>
      </c>
      <c r="AO5" t="s">
        <v>50</v>
      </c>
      <c r="AP5" t="s">
        <v>302</v>
      </c>
    </row>
    <row r="6" spans="1:43" x14ac:dyDescent="0.25">
      <c r="A6">
        <v>1</v>
      </c>
      <c r="B6" t="s">
        <v>38</v>
      </c>
      <c r="C6" t="s">
        <v>172</v>
      </c>
      <c r="E6" t="s">
        <v>38</v>
      </c>
      <c r="F6" t="s">
        <v>172</v>
      </c>
      <c r="G6" t="s">
        <v>40</v>
      </c>
      <c r="H6" t="s">
        <v>213</v>
      </c>
      <c r="I6" t="s">
        <v>40</v>
      </c>
      <c r="J6" t="s">
        <v>222</v>
      </c>
      <c r="K6" t="s">
        <v>41</v>
      </c>
      <c r="L6" t="s">
        <v>230</v>
      </c>
      <c r="M6" t="s">
        <v>43</v>
      </c>
      <c r="N6" t="s">
        <v>239</v>
      </c>
      <c r="O6" t="s">
        <v>36</v>
      </c>
      <c r="P6" t="s">
        <v>245</v>
      </c>
      <c r="S6" t="s">
        <v>43</v>
      </c>
      <c r="T6" t="s">
        <v>262</v>
      </c>
      <c r="U6" t="s">
        <v>35</v>
      </c>
      <c r="V6" t="s">
        <v>279</v>
      </c>
      <c r="W6" t="s">
        <v>42</v>
      </c>
      <c r="X6" t="s">
        <v>169</v>
      </c>
      <c r="AO6" t="s">
        <v>39</v>
      </c>
      <c r="AP6" t="s">
        <v>293</v>
      </c>
    </row>
    <row r="7" spans="1:43" x14ac:dyDescent="0.25">
      <c r="A7">
        <v>1</v>
      </c>
      <c r="B7" t="s">
        <v>35</v>
      </c>
      <c r="C7" t="s">
        <v>200</v>
      </c>
      <c r="E7" t="s">
        <v>35</v>
      </c>
      <c r="F7" t="s">
        <v>200</v>
      </c>
      <c r="G7" t="s">
        <v>38</v>
      </c>
      <c r="H7" t="s">
        <v>214</v>
      </c>
      <c r="I7" t="s">
        <v>35</v>
      </c>
      <c r="J7" t="s">
        <v>223</v>
      </c>
      <c r="K7" t="s">
        <v>36</v>
      </c>
      <c r="L7" t="s">
        <v>233</v>
      </c>
      <c r="M7" t="s">
        <v>36</v>
      </c>
      <c r="N7" t="s">
        <v>244</v>
      </c>
      <c r="O7" t="s">
        <v>43</v>
      </c>
      <c r="P7" t="s">
        <v>247</v>
      </c>
      <c r="S7" t="s">
        <v>36</v>
      </c>
      <c r="T7" t="s">
        <v>263</v>
      </c>
      <c r="U7" t="s">
        <v>43</v>
      </c>
      <c r="V7" t="s">
        <v>280</v>
      </c>
      <c r="AO7" t="s">
        <v>35</v>
      </c>
      <c r="AP7" t="s">
        <v>299</v>
      </c>
    </row>
    <row r="8" spans="1:43" x14ac:dyDescent="0.25">
      <c r="A8">
        <v>1</v>
      </c>
      <c r="B8" t="s">
        <v>37</v>
      </c>
      <c r="C8" t="s">
        <v>202</v>
      </c>
      <c r="E8" t="s">
        <v>37</v>
      </c>
      <c r="F8" t="s">
        <v>202</v>
      </c>
      <c r="G8" t="s">
        <v>35</v>
      </c>
      <c r="H8" t="s">
        <v>174</v>
      </c>
      <c r="I8" t="s">
        <v>43</v>
      </c>
      <c r="J8" t="s">
        <v>225</v>
      </c>
      <c r="K8" t="s">
        <v>40</v>
      </c>
      <c r="L8" t="s">
        <v>252</v>
      </c>
      <c r="M8" t="s">
        <v>40</v>
      </c>
      <c r="N8" t="s">
        <v>255</v>
      </c>
      <c r="O8" t="s">
        <v>42</v>
      </c>
      <c r="P8" t="s">
        <v>260</v>
      </c>
      <c r="S8" t="s">
        <v>42</v>
      </c>
      <c r="T8" t="s">
        <v>277</v>
      </c>
      <c r="U8" t="s">
        <v>42</v>
      </c>
      <c r="V8" t="s">
        <v>281</v>
      </c>
      <c r="AO8" t="s">
        <v>46</v>
      </c>
      <c r="AP8" t="s">
        <v>303</v>
      </c>
    </row>
    <row r="9" spans="1:43" x14ac:dyDescent="0.25">
      <c r="A9">
        <v>1</v>
      </c>
      <c r="B9" t="s">
        <v>42</v>
      </c>
      <c r="C9" t="s">
        <v>203</v>
      </c>
      <c r="E9" t="s">
        <v>42</v>
      </c>
      <c r="F9" t="s">
        <v>203</v>
      </c>
      <c r="G9" t="s">
        <v>36</v>
      </c>
      <c r="H9" t="s">
        <v>220</v>
      </c>
      <c r="I9" t="s">
        <v>36</v>
      </c>
      <c r="J9" t="s">
        <v>226</v>
      </c>
      <c r="K9" t="s">
        <v>42</v>
      </c>
      <c r="L9" t="s">
        <v>256</v>
      </c>
      <c r="M9" t="s">
        <v>42</v>
      </c>
      <c r="N9" t="s">
        <v>258</v>
      </c>
      <c r="O9" t="s">
        <v>40</v>
      </c>
      <c r="P9" t="s">
        <v>273</v>
      </c>
      <c r="AO9" t="s">
        <v>37</v>
      </c>
      <c r="AP9" t="s">
        <v>294</v>
      </c>
    </row>
    <row r="10" spans="1:43" x14ac:dyDescent="0.25">
      <c r="A10">
        <v>1</v>
      </c>
      <c r="B10" t="s">
        <v>43</v>
      </c>
      <c r="C10" t="s">
        <v>204</v>
      </c>
      <c r="E10" t="s">
        <v>43</v>
      </c>
      <c r="F10" t="s">
        <v>204</v>
      </c>
      <c r="G10" t="s">
        <v>43</v>
      </c>
      <c r="H10" t="s">
        <v>221</v>
      </c>
      <c r="I10" t="s">
        <v>42</v>
      </c>
      <c r="J10" t="s">
        <v>231</v>
      </c>
      <c r="K10" t="s">
        <v>45</v>
      </c>
      <c r="L10" t="s">
        <v>275</v>
      </c>
      <c r="AO10" t="s">
        <v>42</v>
      </c>
      <c r="AP10" t="s">
        <v>300</v>
      </c>
    </row>
    <row r="11" spans="1:43" x14ac:dyDescent="0.25">
      <c r="A11">
        <v>1</v>
      </c>
      <c r="B11" t="s">
        <v>45</v>
      </c>
      <c r="C11" t="s">
        <v>211</v>
      </c>
      <c r="E11" t="s">
        <v>45</v>
      </c>
      <c r="F11" t="s">
        <v>211</v>
      </c>
      <c r="G11" t="s">
        <v>44</v>
      </c>
      <c r="H11" t="s">
        <v>246</v>
      </c>
      <c r="I11" t="s">
        <v>39</v>
      </c>
      <c r="J11" t="s">
        <v>270</v>
      </c>
      <c r="K11" t="s">
        <v>39</v>
      </c>
      <c r="L11" t="s">
        <v>284</v>
      </c>
      <c r="AO11" t="s">
        <v>51</v>
      </c>
      <c r="AP11" t="s">
        <v>304</v>
      </c>
    </row>
    <row r="12" spans="1:43" x14ac:dyDescent="0.25">
      <c r="A12">
        <v>1</v>
      </c>
      <c r="B12" t="s">
        <v>36</v>
      </c>
      <c r="C12" t="s">
        <v>219</v>
      </c>
      <c r="E12" t="s">
        <v>36</v>
      </c>
      <c r="F12" t="s">
        <v>219</v>
      </c>
      <c r="G12" t="s">
        <v>45</v>
      </c>
      <c r="H12" t="s">
        <v>170</v>
      </c>
      <c r="I12" t="s">
        <v>45</v>
      </c>
      <c r="J12" t="s">
        <v>274</v>
      </c>
      <c r="K12" t="s">
        <v>38</v>
      </c>
      <c r="L12" t="s">
        <v>195</v>
      </c>
      <c r="AO12" t="s">
        <v>47</v>
      </c>
      <c r="AP12" t="s">
        <v>292</v>
      </c>
    </row>
    <row r="13" spans="1:43" x14ac:dyDescent="0.25">
      <c r="A13">
        <v>1</v>
      </c>
      <c r="B13" t="s">
        <v>44</v>
      </c>
      <c r="C13" t="s">
        <v>224</v>
      </c>
      <c r="E13" t="s">
        <v>44</v>
      </c>
      <c r="F13" t="s">
        <v>224</v>
      </c>
      <c r="G13" t="s">
        <v>39</v>
      </c>
      <c r="H13" t="s">
        <v>267</v>
      </c>
      <c r="AO13" t="s">
        <v>45</v>
      </c>
      <c r="AP13" t="s">
        <v>298</v>
      </c>
    </row>
    <row r="14" spans="1:43" x14ac:dyDescent="0.25">
      <c r="A14">
        <v>1</v>
      </c>
      <c r="B14" t="s">
        <v>39</v>
      </c>
      <c r="C14" t="s">
        <v>229</v>
      </c>
      <c r="E14" t="s">
        <v>39</v>
      </c>
      <c r="F14" t="s">
        <v>229</v>
      </c>
      <c r="AO14" t="s">
        <v>38</v>
      </c>
      <c r="AP14" t="s">
        <v>288</v>
      </c>
    </row>
    <row r="15" spans="1:43" x14ac:dyDescent="0.25">
      <c r="A15">
        <v>1</v>
      </c>
      <c r="B15" t="s">
        <v>50</v>
      </c>
      <c r="C15" t="s">
        <v>234</v>
      </c>
      <c r="E15" t="s">
        <v>50</v>
      </c>
      <c r="F15" t="s">
        <v>234</v>
      </c>
      <c r="AO15" t="s">
        <v>40</v>
      </c>
      <c r="AP15" t="s">
        <v>289</v>
      </c>
    </row>
    <row r="16" spans="1:43" x14ac:dyDescent="0.25">
      <c r="A16">
        <v>1</v>
      </c>
      <c r="B16" t="s">
        <v>48</v>
      </c>
      <c r="C16" t="s">
        <v>271</v>
      </c>
      <c r="E16" t="s">
        <v>48</v>
      </c>
      <c r="F16" t="s">
        <v>271</v>
      </c>
      <c r="AO16" t="s">
        <v>36</v>
      </c>
      <c r="AP16" t="s">
        <v>295</v>
      </c>
    </row>
    <row r="17" spans="1:42" x14ac:dyDescent="0.25">
      <c r="A17">
        <v>1</v>
      </c>
      <c r="B17" t="s">
        <v>47</v>
      </c>
      <c r="C17" t="s">
        <v>278</v>
      </c>
      <c r="E17" t="s">
        <v>47</v>
      </c>
      <c r="F17" t="s">
        <v>278</v>
      </c>
      <c r="AO17" t="s">
        <v>52</v>
      </c>
      <c r="AP17" t="s">
        <v>305</v>
      </c>
    </row>
    <row r="18" spans="1:42" x14ac:dyDescent="0.25">
      <c r="A18">
        <v>2</v>
      </c>
      <c r="B18" t="s">
        <v>46</v>
      </c>
      <c r="C18" t="s">
        <v>201</v>
      </c>
      <c r="AO18" t="s">
        <v>48</v>
      </c>
      <c r="AP18" t="s">
        <v>291</v>
      </c>
    </row>
    <row r="19" spans="1:42" x14ac:dyDescent="0.25">
      <c r="A19">
        <v>2</v>
      </c>
      <c r="B19" t="s">
        <v>42</v>
      </c>
      <c r="C19" t="s">
        <v>166</v>
      </c>
      <c r="AO19" t="s">
        <v>44</v>
      </c>
      <c r="AP19" t="s">
        <v>297</v>
      </c>
    </row>
    <row r="20" spans="1:42" x14ac:dyDescent="0.25">
      <c r="A20">
        <v>2</v>
      </c>
      <c r="B20" t="s">
        <v>37</v>
      </c>
      <c r="C20" t="s">
        <v>206</v>
      </c>
    </row>
    <row r="21" spans="1:42" x14ac:dyDescent="0.25">
      <c r="A21">
        <v>2</v>
      </c>
      <c r="B21" t="s">
        <v>41</v>
      </c>
      <c r="C21" t="s">
        <v>207</v>
      </c>
    </row>
    <row r="22" spans="1:42" x14ac:dyDescent="0.25">
      <c r="A22">
        <v>2</v>
      </c>
      <c r="B22" t="s">
        <v>40</v>
      </c>
      <c r="C22" t="s">
        <v>213</v>
      </c>
    </row>
    <row r="23" spans="1:42" x14ac:dyDescent="0.25">
      <c r="A23">
        <v>2</v>
      </c>
      <c r="B23" t="s">
        <v>38</v>
      </c>
      <c r="C23" t="s">
        <v>214</v>
      </c>
    </row>
    <row r="24" spans="1:42" x14ac:dyDescent="0.25">
      <c r="A24">
        <v>2</v>
      </c>
      <c r="B24" t="s">
        <v>35</v>
      </c>
      <c r="C24" t="s">
        <v>174</v>
      </c>
    </row>
    <row r="25" spans="1:42" x14ac:dyDescent="0.25">
      <c r="A25">
        <v>2</v>
      </c>
      <c r="B25" t="s">
        <v>36</v>
      </c>
      <c r="C25" t="s">
        <v>220</v>
      </c>
    </row>
    <row r="26" spans="1:42" x14ac:dyDescent="0.25">
      <c r="A26">
        <v>2</v>
      </c>
      <c r="B26" t="s">
        <v>43</v>
      </c>
      <c r="C26" t="s">
        <v>221</v>
      </c>
    </row>
    <row r="27" spans="1:42" x14ac:dyDescent="0.25">
      <c r="A27">
        <v>2</v>
      </c>
      <c r="B27" t="s">
        <v>44</v>
      </c>
      <c r="C27" t="s">
        <v>246</v>
      </c>
    </row>
    <row r="28" spans="1:42" x14ac:dyDescent="0.25">
      <c r="A28">
        <v>2</v>
      </c>
      <c r="B28" t="s">
        <v>45</v>
      </c>
      <c r="C28" t="s">
        <v>170</v>
      </c>
    </row>
    <row r="29" spans="1:42" x14ac:dyDescent="0.25">
      <c r="A29">
        <v>2</v>
      </c>
      <c r="B29" t="s">
        <v>39</v>
      </c>
      <c r="C29" t="s">
        <v>267</v>
      </c>
    </row>
    <row r="30" spans="1:42" x14ac:dyDescent="0.25">
      <c r="A30">
        <v>3</v>
      </c>
      <c r="B30" t="s">
        <v>46</v>
      </c>
      <c r="C30" t="s">
        <v>205</v>
      </c>
    </row>
    <row r="31" spans="1:42" x14ac:dyDescent="0.25">
      <c r="A31">
        <v>3</v>
      </c>
      <c r="B31" t="s">
        <v>37</v>
      </c>
      <c r="C31" t="s">
        <v>208</v>
      </c>
    </row>
    <row r="32" spans="1:42" x14ac:dyDescent="0.25">
      <c r="A32">
        <v>3</v>
      </c>
      <c r="B32" t="s">
        <v>38</v>
      </c>
      <c r="C32" t="s">
        <v>216</v>
      </c>
    </row>
    <row r="33" spans="1:3" x14ac:dyDescent="0.25">
      <c r="A33">
        <v>3</v>
      </c>
      <c r="B33" t="s">
        <v>41</v>
      </c>
      <c r="C33" t="s">
        <v>167</v>
      </c>
    </row>
    <row r="34" spans="1:3" x14ac:dyDescent="0.25">
      <c r="A34">
        <v>3</v>
      </c>
      <c r="B34" t="s">
        <v>40</v>
      </c>
      <c r="C34" t="s">
        <v>222</v>
      </c>
    </row>
    <row r="35" spans="1:3" x14ac:dyDescent="0.25">
      <c r="A35">
        <v>3</v>
      </c>
      <c r="B35" t="s">
        <v>35</v>
      </c>
      <c r="C35" t="s">
        <v>223</v>
      </c>
    </row>
    <row r="36" spans="1:3" x14ac:dyDescent="0.25">
      <c r="A36">
        <v>3</v>
      </c>
      <c r="B36" t="s">
        <v>43</v>
      </c>
      <c r="C36" t="s">
        <v>225</v>
      </c>
    </row>
    <row r="37" spans="1:3" x14ac:dyDescent="0.25">
      <c r="A37">
        <v>3</v>
      </c>
      <c r="B37" t="s">
        <v>36</v>
      </c>
      <c r="C37" t="s">
        <v>226</v>
      </c>
    </row>
    <row r="38" spans="1:3" x14ac:dyDescent="0.25">
      <c r="A38">
        <v>3</v>
      </c>
      <c r="B38" t="s">
        <v>42</v>
      </c>
      <c r="C38" t="s">
        <v>231</v>
      </c>
    </row>
    <row r="39" spans="1:3" x14ac:dyDescent="0.25">
      <c r="A39">
        <v>3</v>
      </c>
      <c r="B39" t="s">
        <v>39</v>
      </c>
      <c r="C39" t="s">
        <v>270</v>
      </c>
    </row>
    <row r="40" spans="1:3" x14ac:dyDescent="0.25">
      <c r="A40">
        <v>3</v>
      </c>
      <c r="B40" t="s">
        <v>45</v>
      </c>
      <c r="C40" t="s">
        <v>274</v>
      </c>
    </row>
    <row r="41" spans="1:3" x14ac:dyDescent="0.25">
      <c r="A41">
        <v>4</v>
      </c>
      <c r="B41" t="s">
        <v>37</v>
      </c>
      <c r="C41" t="s">
        <v>209</v>
      </c>
    </row>
    <row r="42" spans="1:3" x14ac:dyDescent="0.25">
      <c r="A42">
        <v>4</v>
      </c>
      <c r="B42" t="s">
        <v>46</v>
      </c>
      <c r="C42" t="s">
        <v>212</v>
      </c>
    </row>
    <row r="43" spans="1:3" x14ac:dyDescent="0.25">
      <c r="A43">
        <v>4</v>
      </c>
      <c r="B43" t="s">
        <v>35</v>
      </c>
      <c r="C43" t="s">
        <v>168</v>
      </c>
    </row>
    <row r="44" spans="1:3" x14ac:dyDescent="0.25">
      <c r="A44">
        <v>4</v>
      </c>
      <c r="B44" t="s">
        <v>43</v>
      </c>
      <c r="C44" t="s">
        <v>173</v>
      </c>
    </row>
    <row r="45" spans="1:3" x14ac:dyDescent="0.25">
      <c r="A45">
        <v>4</v>
      </c>
      <c r="B45" t="s">
        <v>41</v>
      </c>
      <c r="C45" t="s">
        <v>230</v>
      </c>
    </row>
    <row r="46" spans="1:3" x14ac:dyDescent="0.25">
      <c r="A46">
        <v>4</v>
      </c>
      <c r="B46" t="s">
        <v>36</v>
      </c>
      <c r="C46" t="s">
        <v>233</v>
      </c>
    </row>
    <row r="47" spans="1:3" x14ac:dyDescent="0.25">
      <c r="A47">
        <v>4</v>
      </c>
      <c r="B47" t="s">
        <v>40</v>
      </c>
      <c r="C47" t="s">
        <v>252</v>
      </c>
    </row>
    <row r="48" spans="1:3" x14ac:dyDescent="0.25">
      <c r="A48">
        <v>4</v>
      </c>
      <c r="B48" t="s">
        <v>42</v>
      </c>
      <c r="C48" t="s">
        <v>256</v>
      </c>
    </row>
    <row r="49" spans="1:3" x14ac:dyDescent="0.25">
      <c r="A49">
        <v>4</v>
      </c>
      <c r="B49" t="s">
        <v>45</v>
      </c>
      <c r="C49" t="s">
        <v>275</v>
      </c>
    </row>
    <row r="50" spans="1:3" x14ac:dyDescent="0.25">
      <c r="A50">
        <v>4</v>
      </c>
      <c r="B50" t="s">
        <v>39</v>
      </c>
      <c r="C50" t="s">
        <v>284</v>
      </c>
    </row>
    <row r="51" spans="1:3" x14ac:dyDescent="0.25">
      <c r="A51">
        <v>4</v>
      </c>
      <c r="B51" t="s">
        <v>38</v>
      </c>
      <c r="C51" t="s">
        <v>195</v>
      </c>
    </row>
    <row r="52" spans="1:3" x14ac:dyDescent="0.25">
      <c r="A52">
        <v>5</v>
      </c>
      <c r="B52" t="s">
        <v>37</v>
      </c>
      <c r="C52" t="s">
        <v>210</v>
      </c>
    </row>
    <row r="53" spans="1:3" x14ac:dyDescent="0.25">
      <c r="A53">
        <v>5</v>
      </c>
      <c r="B53" t="s">
        <v>46</v>
      </c>
      <c r="C53" t="s">
        <v>215</v>
      </c>
    </row>
    <row r="54" spans="1:3" x14ac:dyDescent="0.25">
      <c r="A54">
        <v>5</v>
      </c>
      <c r="B54" t="s">
        <v>35</v>
      </c>
      <c r="C54" t="s">
        <v>228</v>
      </c>
    </row>
    <row r="55" spans="1:3" x14ac:dyDescent="0.25">
      <c r="A55">
        <v>5</v>
      </c>
      <c r="B55" t="s">
        <v>41</v>
      </c>
      <c r="C55" t="s">
        <v>236</v>
      </c>
    </row>
    <row r="56" spans="1:3" x14ac:dyDescent="0.25">
      <c r="A56">
        <v>5</v>
      </c>
      <c r="B56" t="s">
        <v>43</v>
      </c>
      <c r="C56" t="s">
        <v>239</v>
      </c>
    </row>
    <row r="57" spans="1:3" x14ac:dyDescent="0.25">
      <c r="A57">
        <v>5</v>
      </c>
      <c r="B57" t="s">
        <v>36</v>
      </c>
      <c r="C57" t="s">
        <v>244</v>
      </c>
    </row>
    <row r="58" spans="1:3" x14ac:dyDescent="0.25">
      <c r="A58">
        <v>5</v>
      </c>
      <c r="B58" t="s">
        <v>40</v>
      </c>
      <c r="C58" t="s">
        <v>255</v>
      </c>
    </row>
    <row r="59" spans="1:3" x14ac:dyDescent="0.25">
      <c r="A59">
        <v>5</v>
      </c>
      <c r="B59" t="s">
        <v>42</v>
      </c>
      <c r="C59" t="s">
        <v>258</v>
      </c>
    </row>
    <row r="60" spans="1:3" x14ac:dyDescent="0.25">
      <c r="A60">
        <v>6</v>
      </c>
      <c r="B60" t="s">
        <v>37</v>
      </c>
      <c r="C60" t="s">
        <v>217</v>
      </c>
    </row>
    <row r="61" spans="1:3" x14ac:dyDescent="0.25">
      <c r="A61">
        <v>6</v>
      </c>
      <c r="B61" t="s">
        <v>46</v>
      </c>
      <c r="C61" t="s">
        <v>218</v>
      </c>
    </row>
    <row r="62" spans="1:3" x14ac:dyDescent="0.25">
      <c r="A62">
        <v>6</v>
      </c>
      <c r="B62" t="s">
        <v>35</v>
      </c>
      <c r="C62" t="s">
        <v>232</v>
      </c>
    </row>
    <row r="63" spans="1:3" x14ac:dyDescent="0.25">
      <c r="A63">
        <v>6</v>
      </c>
      <c r="B63" t="s">
        <v>41</v>
      </c>
      <c r="C63" t="s">
        <v>238</v>
      </c>
    </row>
    <row r="64" spans="1:3" x14ac:dyDescent="0.25">
      <c r="A64">
        <v>6</v>
      </c>
      <c r="B64" t="s">
        <v>36</v>
      </c>
      <c r="C64" t="s">
        <v>245</v>
      </c>
    </row>
    <row r="65" spans="1:3" x14ac:dyDescent="0.25">
      <c r="A65">
        <v>6</v>
      </c>
      <c r="B65" t="s">
        <v>43</v>
      </c>
      <c r="C65" t="s">
        <v>247</v>
      </c>
    </row>
    <row r="66" spans="1:3" x14ac:dyDescent="0.25">
      <c r="A66">
        <v>6</v>
      </c>
      <c r="B66" t="s">
        <v>42</v>
      </c>
      <c r="C66" t="s">
        <v>260</v>
      </c>
    </row>
    <row r="67" spans="1:3" x14ac:dyDescent="0.25">
      <c r="A67">
        <v>6</v>
      </c>
      <c r="B67" t="s">
        <v>40</v>
      </c>
      <c r="C67" t="s">
        <v>273</v>
      </c>
    </row>
    <row r="68" spans="1:3" x14ac:dyDescent="0.25">
      <c r="A68">
        <v>7</v>
      </c>
      <c r="B68" t="s">
        <v>37</v>
      </c>
      <c r="C68" t="s">
        <v>227</v>
      </c>
    </row>
    <row r="69" spans="1:3" x14ac:dyDescent="0.25">
      <c r="A69">
        <v>7</v>
      </c>
      <c r="B69" t="s">
        <v>46</v>
      </c>
      <c r="C69" t="s">
        <v>237</v>
      </c>
    </row>
    <row r="70" spans="1:3" x14ac:dyDescent="0.25">
      <c r="A70">
        <v>7</v>
      </c>
      <c r="B70" t="s">
        <v>35</v>
      </c>
      <c r="C70" t="s">
        <v>240</v>
      </c>
    </row>
    <row r="71" spans="1:3" x14ac:dyDescent="0.25">
      <c r="A71">
        <v>7</v>
      </c>
      <c r="B71" t="s">
        <v>43</v>
      </c>
      <c r="C71" t="s">
        <v>249</v>
      </c>
    </row>
    <row r="72" spans="1:3" x14ac:dyDescent="0.25">
      <c r="A72">
        <v>7</v>
      </c>
      <c r="B72" t="s">
        <v>41</v>
      </c>
      <c r="C72" t="s">
        <v>253</v>
      </c>
    </row>
    <row r="73" spans="1:3" x14ac:dyDescent="0.25">
      <c r="A73">
        <v>7</v>
      </c>
      <c r="B73" t="s">
        <v>36</v>
      </c>
      <c r="C73" t="s">
        <v>171</v>
      </c>
    </row>
    <row r="74" spans="1:3" x14ac:dyDescent="0.25">
      <c r="A74">
        <v>7</v>
      </c>
      <c r="B74" t="s">
        <v>42</v>
      </c>
      <c r="C74" t="s">
        <v>265</v>
      </c>
    </row>
    <row r="75" spans="1:3" x14ac:dyDescent="0.25">
      <c r="A75">
        <v>8</v>
      </c>
      <c r="B75" t="s">
        <v>37</v>
      </c>
      <c r="C75" t="s">
        <v>235</v>
      </c>
    </row>
    <row r="76" spans="1:3" x14ac:dyDescent="0.25">
      <c r="A76">
        <v>8</v>
      </c>
      <c r="B76" t="s">
        <v>46</v>
      </c>
      <c r="C76" t="s">
        <v>242</v>
      </c>
    </row>
    <row r="77" spans="1:3" x14ac:dyDescent="0.25">
      <c r="A77">
        <v>8</v>
      </c>
      <c r="B77" t="s">
        <v>35</v>
      </c>
      <c r="C77" t="s">
        <v>248</v>
      </c>
    </row>
    <row r="78" spans="1:3" x14ac:dyDescent="0.25">
      <c r="A78">
        <v>8</v>
      </c>
      <c r="B78" t="s">
        <v>41</v>
      </c>
      <c r="C78" t="s">
        <v>259</v>
      </c>
    </row>
    <row r="79" spans="1:3" x14ac:dyDescent="0.25">
      <c r="A79">
        <v>8</v>
      </c>
      <c r="B79" t="s">
        <v>43</v>
      </c>
      <c r="C79" t="s">
        <v>262</v>
      </c>
    </row>
    <row r="80" spans="1:3" x14ac:dyDescent="0.25">
      <c r="A80">
        <v>8</v>
      </c>
      <c r="B80" t="s">
        <v>36</v>
      </c>
      <c r="C80" t="s">
        <v>263</v>
      </c>
    </row>
    <row r="81" spans="1:3" x14ac:dyDescent="0.25">
      <c r="A81">
        <v>8</v>
      </c>
      <c r="B81" t="s">
        <v>42</v>
      </c>
      <c r="C81" t="s">
        <v>277</v>
      </c>
    </row>
    <row r="82" spans="1:3" x14ac:dyDescent="0.25">
      <c r="A82">
        <v>9</v>
      </c>
      <c r="B82" t="s">
        <v>37</v>
      </c>
      <c r="C82" t="s">
        <v>241</v>
      </c>
    </row>
    <row r="83" spans="1:3" x14ac:dyDescent="0.25">
      <c r="A83">
        <v>9</v>
      </c>
      <c r="B83" t="s">
        <v>46</v>
      </c>
      <c r="C83" t="s">
        <v>254</v>
      </c>
    </row>
    <row r="84" spans="1:3" x14ac:dyDescent="0.25">
      <c r="A84">
        <v>9</v>
      </c>
      <c r="B84" t="s">
        <v>36</v>
      </c>
      <c r="C84" t="s">
        <v>264</v>
      </c>
    </row>
    <row r="85" spans="1:3" x14ac:dyDescent="0.25">
      <c r="A85">
        <v>9</v>
      </c>
      <c r="B85" t="s">
        <v>41</v>
      </c>
      <c r="C85" t="s">
        <v>269</v>
      </c>
    </row>
    <row r="86" spans="1:3" x14ac:dyDescent="0.25">
      <c r="A86">
        <v>9</v>
      </c>
      <c r="B86" t="s">
        <v>35</v>
      </c>
      <c r="C86" t="s">
        <v>279</v>
      </c>
    </row>
    <row r="87" spans="1:3" x14ac:dyDescent="0.25">
      <c r="A87">
        <v>9</v>
      </c>
      <c r="B87" t="s">
        <v>43</v>
      </c>
      <c r="C87" t="s">
        <v>280</v>
      </c>
    </row>
    <row r="88" spans="1:3" x14ac:dyDescent="0.25">
      <c r="A88">
        <v>9</v>
      </c>
      <c r="B88" t="s">
        <v>42</v>
      </c>
      <c r="C88" t="s">
        <v>281</v>
      </c>
    </row>
    <row r="89" spans="1:3" x14ac:dyDescent="0.25">
      <c r="A89">
        <v>10</v>
      </c>
      <c r="B89" t="s">
        <v>37</v>
      </c>
      <c r="C89" t="s">
        <v>243</v>
      </c>
    </row>
    <row r="90" spans="1:3" x14ac:dyDescent="0.25">
      <c r="A90">
        <v>10</v>
      </c>
      <c r="B90" t="s">
        <v>46</v>
      </c>
      <c r="C90" t="s">
        <v>257</v>
      </c>
    </row>
    <row r="91" spans="1:3" x14ac:dyDescent="0.25">
      <c r="A91">
        <v>10</v>
      </c>
      <c r="B91" t="s">
        <v>36</v>
      </c>
      <c r="C91" t="s">
        <v>268</v>
      </c>
    </row>
    <row r="92" spans="1:3" x14ac:dyDescent="0.25">
      <c r="A92">
        <v>10</v>
      </c>
      <c r="B92" t="s">
        <v>41</v>
      </c>
      <c r="C92" t="s">
        <v>164</v>
      </c>
    </row>
    <row r="93" spans="1:3" x14ac:dyDescent="0.25">
      <c r="A93">
        <v>10</v>
      </c>
      <c r="B93" t="s">
        <v>42</v>
      </c>
      <c r="C93" t="s">
        <v>169</v>
      </c>
    </row>
    <row r="94" spans="1:3" x14ac:dyDescent="0.25">
      <c r="A94">
        <v>11</v>
      </c>
      <c r="B94" t="s">
        <v>37</v>
      </c>
      <c r="C94" t="s">
        <v>250</v>
      </c>
    </row>
    <row r="95" spans="1:3" x14ac:dyDescent="0.25">
      <c r="A95">
        <v>11</v>
      </c>
      <c r="B95" t="s">
        <v>42</v>
      </c>
      <c r="C95" t="s">
        <v>282</v>
      </c>
    </row>
    <row r="96" spans="1:3" x14ac:dyDescent="0.25">
      <c r="A96">
        <v>12</v>
      </c>
      <c r="B96" t="s">
        <v>37</v>
      </c>
      <c r="C96" t="s">
        <v>251</v>
      </c>
    </row>
    <row r="97" spans="1:3" x14ac:dyDescent="0.25">
      <c r="A97">
        <v>12</v>
      </c>
      <c r="B97" t="s">
        <v>42</v>
      </c>
      <c r="C97" t="s">
        <v>283</v>
      </c>
    </row>
    <row r="98" spans="1:3" x14ac:dyDescent="0.25">
      <c r="A98">
        <v>13</v>
      </c>
      <c r="B98" t="s">
        <v>37</v>
      </c>
      <c r="C98" t="s">
        <v>261</v>
      </c>
    </row>
    <row r="99" spans="1:3" x14ac:dyDescent="0.25">
      <c r="A99">
        <v>14</v>
      </c>
      <c r="B99" t="s">
        <v>37</v>
      </c>
      <c r="C99" t="s">
        <v>266</v>
      </c>
    </row>
    <row r="100" spans="1:3" x14ac:dyDescent="0.25">
      <c r="A100">
        <v>15</v>
      </c>
      <c r="B100" t="s">
        <v>37</v>
      </c>
      <c r="C100" t="s">
        <v>272</v>
      </c>
    </row>
    <row r="101" spans="1:3" x14ac:dyDescent="0.25">
      <c r="A101">
        <v>16</v>
      </c>
      <c r="B101" t="s">
        <v>37</v>
      </c>
      <c r="C101" t="s">
        <v>276</v>
      </c>
    </row>
    <row r="102" spans="1:3" x14ac:dyDescent="0.25">
      <c r="A102">
        <v>17</v>
      </c>
      <c r="B102" t="s">
        <v>37</v>
      </c>
      <c r="C102" t="s">
        <v>194</v>
      </c>
    </row>
    <row r="103" spans="1:3" x14ac:dyDescent="0.25">
      <c r="A103">
        <v>18</v>
      </c>
      <c r="B103" t="s">
        <v>37</v>
      </c>
      <c r="C103" t="s">
        <v>196</v>
      </c>
    </row>
  </sheetData>
  <autoFilter ref="A1:C103">
    <sortState ref="A2:C103">
      <sortCondition ref="A1:A103"/>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27"/>
  <sheetViews>
    <sheetView zoomScale="85" zoomScaleNormal="85" workbookViewId="0">
      <selection activeCell="O15" sqref="O15"/>
    </sheetView>
  </sheetViews>
  <sheetFormatPr defaultColWidth="8.85546875" defaultRowHeight="15" x14ac:dyDescent="0.25"/>
  <cols>
    <col min="1" max="1" width="4" style="7" customWidth="1"/>
    <col min="2" max="3" width="8.85546875" style="7"/>
    <col min="4" max="4" width="8.85546875" style="7" customWidth="1"/>
    <col min="5" max="7" width="9.85546875" style="7" customWidth="1"/>
    <col min="8" max="8" width="11.140625" style="7" customWidth="1"/>
    <col min="9" max="10" width="8.85546875" style="7"/>
    <col min="11" max="15" width="21.5703125" style="7" customWidth="1"/>
    <col min="16" max="22" width="8.85546875" style="7"/>
    <col min="23" max="23" width="9.28515625" style="7" bestFit="1" customWidth="1"/>
    <col min="24" max="16384" width="8.85546875" style="7"/>
  </cols>
  <sheetData>
    <row r="2" spans="2:23" x14ac:dyDescent="0.25">
      <c r="B2" s="15" t="s">
        <v>61</v>
      </c>
    </row>
    <row r="3" spans="2:23" x14ac:dyDescent="0.25">
      <c r="N3" s="7" t="s">
        <v>101</v>
      </c>
    </row>
    <row r="4" spans="2:23" ht="15.75" thickBot="1" x14ac:dyDescent="0.3">
      <c r="B4" s="10" t="s">
        <v>4</v>
      </c>
    </row>
    <row r="5" spans="2:23" ht="15.75" thickBot="1" x14ac:dyDescent="0.3">
      <c r="B5" s="6" t="s">
        <v>54</v>
      </c>
      <c r="F5" s="229" t="s">
        <v>60</v>
      </c>
      <c r="G5" s="7" t="s">
        <v>38</v>
      </c>
      <c r="J5" s="11">
        <f>'MWL Flexible Range Calculation'!J5</f>
        <v>1</v>
      </c>
      <c r="N5" s="7" t="s">
        <v>65</v>
      </c>
      <c r="P5" s="7" t="s">
        <v>472</v>
      </c>
    </row>
    <row r="6" spans="2:23" ht="14.45" customHeight="1" thickBot="1" x14ac:dyDescent="0.3">
      <c r="B6" s="7" t="s">
        <v>57</v>
      </c>
      <c r="D6" s="11">
        <f>'MWL Flexible Range Calculation'!D6</f>
        <v>6</v>
      </c>
      <c r="F6" s="229"/>
      <c r="G6" s="7" t="s">
        <v>49</v>
      </c>
      <c r="J6" s="11">
        <f>'MWL Flexible Range Calculation'!J6</f>
        <v>0</v>
      </c>
      <c r="N6" s="7" t="s">
        <v>66</v>
      </c>
      <c r="P6" s="7" t="s">
        <v>473</v>
      </c>
    </row>
    <row r="7" spans="2:23" ht="15.75" thickBot="1" x14ac:dyDescent="0.3">
      <c r="F7" s="229"/>
      <c r="G7" s="7" t="s">
        <v>52</v>
      </c>
      <c r="J7" s="11">
        <f>'MWL Flexible Range Calculation'!J7</f>
        <v>0</v>
      </c>
      <c r="N7" s="7" t="s">
        <v>67</v>
      </c>
      <c r="P7" s="7" t="s">
        <v>72</v>
      </c>
    </row>
    <row r="8" spans="2:23" ht="15.75" thickBot="1" x14ac:dyDescent="0.3">
      <c r="B8" s="6" t="s">
        <v>55</v>
      </c>
      <c r="F8" s="229"/>
      <c r="G8" s="7" t="s">
        <v>51</v>
      </c>
      <c r="J8" s="11">
        <f>'MWL Flexible Range Calculation'!J8</f>
        <v>0</v>
      </c>
      <c r="N8" s="7" t="s">
        <v>69</v>
      </c>
      <c r="P8" s="7" t="s">
        <v>70</v>
      </c>
    </row>
    <row r="9" spans="2:23" ht="15.75" thickBot="1" x14ac:dyDescent="0.3">
      <c r="B9" s="7" t="s">
        <v>15</v>
      </c>
      <c r="D9" s="11">
        <f>'MWL Flexible Range Calculation'!D9</f>
        <v>2</v>
      </c>
      <c r="F9" s="229"/>
      <c r="G9" s="7" t="s">
        <v>50</v>
      </c>
      <c r="J9" s="11">
        <f>'MWL Flexible Range Calculation'!J9</f>
        <v>0</v>
      </c>
      <c r="N9" s="7" t="s">
        <v>68</v>
      </c>
      <c r="P9" s="7" t="s">
        <v>71</v>
      </c>
    </row>
    <row r="10" spans="2:23" ht="15.75" thickBot="1" x14ac:dyDescent="0.3">
      <c r="B10" s="7" t="s">
        <v>17</v>
      </c>
      <c r="D10" s="11">
        <f>'MWL Flexible Range Calculation'!D10</f>
        <v>3</v>
      </c>
      <c r="F10" s="229"/>
      <c r="G10" s="7" t="s">
        <v>46</v>
      </c>
      <c r="J10" s="11">
        <f>'MWL Flexible Range Calculation'!J10</f>
        <v>1</v>
      </c>
    </row>
    <row r="11" spans="2:23" ht="15.75" thickBot="1" x14ac:dyDescent="0.3">
      <c r="B11" s="7" t="s">
        <v>19</v>
      </c>
      <c r="D11" s="11">
        <f>'MWL Flexible Range Calculation'!D11</f>
        <v>1</v>
      </c>
      <c r="G11" s="7" t="s">
        <v>40</v>
      </c>
      <c r="J11" s="11">
        <f>'MWL Flexible Range Calculation'!J11</f>
        <v>1</v>
      </c>
      <c r="N11" s="7" t="s">
        <v>80</v>
      </c>
      <c r="P11" s="7" t="s">
        <v>88</v>
      </c>
    </row>
    <row r="12" spans="2:23" ht="15.75" thickBot="1" x14ac:dyDescent="0.3">
      <c r="G12" s="7" t="s">
        <v>41</v>
      </c>
      <c r="J12" s="11">
        <f>'MWL Flexible Range Calculation'!J12</f>
        <v>1</v>
      </c>
      <c r="N12" s="7" t="s">
        <v>81</v>
      </c>
      <c r="P12" s="7" t="s">
        <v>89</v>
      </c>
    </row>
    <row r="13" spans="2:23" ht="15.75" thickBot="1" x14ac:dyDescent="0.3">
      <c r="B13" s="6" t="s">
        <v>56</v>
      </c>
      <c r="G13" s="7" t="s">
        <v>48</v>
      </c>
      <c r="J13" s="11">
        <f>'MWL Flexible Range Calculation'!J13</f>
        <v>0</v>
      </c>
      <c r="N13" s="7" t="s">
        <v>83</v>
      </c>
      <c r="P13" s="7" t="s">
        <v>87</v>
      </c>
    </row>
    <row r="14" spans="2:23" ht="15.75" thickBot="1" x14ac:dyDescent="0.3">
      <c r="B14" s="7" t="s">
        <v>22</v>
      </c>
      <c r="D14" s="11">
        <f>'MWL Flexible Range Calculation'!D14</f>
        <v>3</v>
      </c>
      <c r="G14" s="7" t="s">
        <v>47</v>
      </c>
      <c r="J14" s="11">
        <f>'MWL Flexible Range Calculation'!J14</f>
        <v>0</v>
      </c>
      <c r="N14" s="7" t="s">
        <v>82</v>
      </c>
      <c r="P14" s="7" t="s">
        <v>86</v>
      </c>
    </row>
    <row r="15" spans="2:23" ht="15.75" thickBot="1" x14ac:dyDescent="0.3">
      <c r="B15" s="7" t="s">
        <v>23</v>
      </c>
      <c r="D15" s="11">
        <f>'MWL Flexible Range Calculation'!D15</f>
        <v>1</v>
      </c>
      <c r="G15" s="7" t="s">
        <v>39</v>
      </c>
      <c r="J15" s="11">
        <f>'MWL Flexible Range Calculation'!J15</f>
        <v>0</v>
      </c>
      <c r="N15" s="7" t="s">
        <v>84</v>
      </c>
      <c r="P15" s="7" t="s">
        <v>85</v>
      </c>
    </row>
    <row r="16" spans="2:23" ht="15.75" thickBot="1" x14ac:dyDescent="0.3">
      <c r="B16" s="7" t="s">
        <v>24</v>
      </c>
      <c r="D16" s="11">
        <f>'MWL Flexible Range Calculation'!D16</f>
        <v>0</v>
      </c>
      <c r="G16" s="7" t="s">
        <v>37</v>
      </c>
      <c r="J16" s="11">
        <f>'MWL Flexible Range Calculation'!J16</f>
        <v>1</v>
      </c>
      <c r="W16" s="23"/>
    </row>
    <row r="17" spans="2:21" ht="15.75" thickBot="1" x14ac:dyDescent="0.3">
      <c r="B17" s="7" t="s">
        <v>25</v>
      </c>
      <c r="D17" s="11">
        <f>'MWL Flexible Range Calculation'!D17</f>
        <v>0</v>
      </c>
      <c r="G17" s="7" t="s">
        <v>36</v>
      </c>
      <c r="J17" s="11">
        <f>'MWL Flexible Range Calculation'!J17</f>
        <v>1</v>
      </c>
      <c r="N17" s="7" t="s">
        <v>93</v>
      </c>
      <c r="P17" s="7" t="s">
        <v>94</v>
      </c>
    </row>
    <row r="18" spans="2:21" ht="15.75" thickBot="1" x14ac:dyDescent="0.3">
      <c r="B18" s="7" t="s">
        <v>26</v>
      </c>
      <c r="D18" s="11">
        <f>'MWL Flexible Range Calculation'!D18</f>
        <v>0</v>
      </c>
      <c r="G18" s="7" t="s">
        <v>43</v>
      </c>
      <c r="J18" s="11">
        <f>'MWL Flexible Range Calculation'!J18</f>
        <v>0</v>
      </c>
      <c r="N18" s="7" t="s">
        <v>92</v>
      </c>
      <c r="P18" s="7" t="s">
        <v>96</v>
      </c>
    </row>
    <row r="19" spans="2:21" ht="15.75" thickBot="1" x14ac:dyDescent="0.3">
      <c r="B19" s="7" t="s">
        <v>27</v>
      </c>
      <c r="D19" s="11">
        <f>'MWL Flexible Range Calculation'!D19</f>
        <v>2</v>
      </c>
      <c r="G19" s="7" t="s">
        <v>44</v>
      </c>
      <c r="J19" s="11">
        <f>'MWL Flexible Range Calculation'!J19</f>
        <v>0</v>
      </c>
      <c r="N19" s="7" t="s">
        <v>97</v>
      </c>
      <c r="P19" s="7" t="s">
        <v>99</v>
      </c>
    </row>
    <row r="20" spans="2:21" ht="15.75" thickBot="1" x14ac:dyDescent="0.3">
      <c r="G20" s="7" t="s">
        <v>45</v>
      </c>
      <c r="J20" s="11">
        <f>'MWL Flexible Range Calculation'!J20</f>
        <v>0</v>
      </c>
      <c r="N20" s="7" t="s">
        <v>98</v>
      </c>
      <c r="P20" s="7" t="s">
        <v>100</v>
      </c>
    </row>
    <row r="21" spans="2:21" ht="15.75" thickBot="1" x14ac:dyDescent="0.3">
      <c r="F21" s="12"/>
      <c r="G21" s="12" t="s">
        <v>35</v>
      </c>
      <c r="H21" s="12"/>
      <c r="J21" s="11">
        <f>'MWL Flexible Range Calculation'!J21</f>
        <v>0</v>
      </c>
      <c r="N21" s="7" t="s">
        <v>91</v>
      </c>
      <c r="P21" s="7" t="s">
        <v>95</v>
      </c>
    </row>
    <row r="22" spans="2:21" ht="15.75" thickBot="1" x14ac:dyDescent="0.3">
      <c r="G22" s="7" t="s">
        <v>42</v>
      </c>
      <c r="J22" s="11">
        <f>'MWL Flexible Range Calculation'!J22</f>
        <v>0</v>
      </c>
    </row>
    <row r="23" spans="2:21" s="9" customFormat="1" x14ac:dyDescent="0.25"/>
    <row r="25" spans="2:21" x14ac:dyDescent="0.25">
      <c r="B25" s="10" t="s">
        <v>62</v>
      </c>
    </row>
    <row r="26" spans="2:21" ht="14.45" customHeight="1" x14ac:dyDescent="0.25">
      <c r="B26" s="6" t="s">
        <v>63</v>
      </c>
      <c r="F26" s="6" t="s">
        <v>74</v>
      </c>
      <c r="G26" s="18" t="s">
        <v>4</v>
      </c>
      <c r="H26" s="19" t="s">
        <v>79</v>
      </c>
      <c r="I26" s="19" t="s">
        <v>78</v>
      </c>
      <c r="J26" s="20"/>
      <c r="K26" s="20" t="s">
        <v>74</v>
      </c>
      <c r="L26" s="18" t="s">
        <v>3</v>
      </c>
      <c r="M26" s="19" t="s">
        <v>79</v>
      </c>
      <c r="N26" s="19" t="s">
        <v>78</v>
      </c>
      <c r="Q26" s="6" t="s">
        <v>75</v>
      </c>
    </row>
    <row r="27" spans="2:21" x14ac:dyDescent="0.25">
      <c r="B27" s="7" t="s">
        <v>64</v>
      </c>
      <c r="C27" s="17">
        <f>'Input Processing'!D4-D6</f>
        <v>-6</v>
      </c>
      <c r="F27" s="7" t="s">
        <v>77</v>
      </c>
      <c r="G27" s="19" t="s">
        <v>15</v>
      </c>
      <c r="H27" s="19">
        <f>SUM(D9:D10)/D6</f>
        <v>0.83333333333333337</v>
      </c>
      <c r="I27" s="19">
        <f>H27/SUM(H27:H28)</f>
        <v>0.55555555555555558</v>
      </c>
      <c r="J27" s="19"/>
      <c r="K27" s="19" t="s">
        <v>77</v>
      </c>
      <c r="L27" s="19" t="s">
        <v>15</v>
      </c>
      <c r="M27" s="19" t="e">
        <f>SUM('Input Processing'!D7:D8)/'Input Processing'!D4</f>
        <v>#DIV/0!</v>
      </c>
      <c r="N27" s="19" t="e">
        <f>M27/SUM(M27:M28)</f>
        <v>#DIV/0!</v>
      </c>
      <c r="O27" s="7" t="e">
        <f>N27-I27</f>
        <v>#DIV/0!</v>
      </c>
      <c r="Q27" s="7" t="s">
        <v>90</v>
      </c>
      <c r="R27" s="22">
        <f>SUM(U27:U32)/COUNTIF(D14:D19,"&lt;&gt;0")</f>
        <v>0</v>
      </c>
      <c r="T27" s="19" t="s">
        <v>22</v>
      </c>
      <c r="U27" s="19">
        <f>MIN(1,IFERROR('Input Processing'!D12/D14,0))</f>
        <v>0</v>
      </c>
    </row>
    <row r="28" spans="2:21" x14ac:dyDescent="0.25">
      <c r="B28" s="7" t="s">
        <v>73</v>
      </c>
      <c r="C28" s="17" t="str">
        <f>IF(C27&gt;(D6/2.5),"SIZELARGE",IF(AND((C27&gt;=(2)),(C27&lt;=(D6/2.5))),"SIZESLARG",IF(C27&lt;=(-2),"SIZESMALL",IF(OR(C27=(1),C27=(-1)),"SIZESUIT",IF(C27=0,"SIZEPERF","")))))</f>
        <v>SIZESMALL</v>
      </c>
      <c r="G28" s="21" t="s">
        <v>17</v>
      </c>
      <c r="H28" s="19">
        <f>SUM(D10:D11)/D6</f>
        <v>0.66666666666666663</v>
      </c>
      <c r="I28" s="19">
        <f>H28/SUM(H27:H28)</f>
        <v>0.44444444444444442</v>
      </c>
      <c r="J28" s="19"/>
      <c r="K28" s="19"/>
      <c r="L28" s="21" t="s">
        <v>17</v>
      </c>
      <c r="M28" s="19" t="e">
        <f>SUM('Input Processing'!D8:D9)/'Input Processing'!D4</f>
        <v>#DIV/0!</v>
      </c>
      <c r="N28" s="19" t="e">
        <f>M28/SUM(M27:M28)</f>
        <v>#DIV/0!</v>
      </c>
      <c r="Q28" s="7" t="s">
        <v>73</v>
      </c>
      <c r="R28" s="7" t="str">
        <f>IF(AND(R27&lt;0.3),"FLAV30",IF(AND(R27&gt;=0.3,R27&lt;0.5),"FLAV50",IF(AND(R27&gt;=0.5,R27&lt;0.75),"FLAV75",IF(AND(R27&gt;=0.75,R27&lt;1),"FLAV99",IF(R27=1,"FLAV100","F")))))</f>
        <v>FLAV30</v>
      </c>
      <c r="T28" s="19" t="s">
        <v>23</v>
      </c>
      <c r="U28" s="19">
        <f>MIN(1,IFERROR('Input Processing'!D13/D15,0))</f>
        <v>0</v>
      </c>
    </row>
    <row r="29" spans="2:21" x14ac:dyDescent="0.25">
      <c r="B29" s="7" t="s">
        <v>76</v>
      </c>
      <c r="C29" s="17" t="str">
        <f>IF(C27=0,"",IF(C27=-1,"Add 1 gin",IF(C27=1,"Remove 1 gin",IF(C27&gt;1,"Remove "&amp;ABS(C27)&amp;" gins",IF(C27&lt;-1,"Add "&amp;ABS(C27)&amp;" gins","F")))))</f>
        <v>Add 6 gins</v>
      </c>
      <c r="F29" s="7" t="s">
        <v>64</v>
      </c>
      <c r="G29" s="7" t="e">
        <f>N27-I27</f>
        <v>#DIV/0!</v>
      </c>
      <c r="T29" s="19" t="s">
        <v>24</v>
      </c>
      <c r="U29" s="19">
        <f>MIN(1,IFERROR('Input Processing'!D14/D16,0))</f>
        <v>0</v>
      </c>
    </row>
    <row r="30" spans="2:21" x14ac:dyDescent="0.25">
      <c r="F30" s="7" t="s">
        <v>73</v>
      </c>
      <c r="G30" s="7" t="e">
        <f>IF(G29&lt;-0.2,"PRICEPREMI",IF(AND(G29&gt;=-0.2,G29&lt;0),"PRICESPREM",IF(G29=0,"PRICEPERF",IF(AND(G29&lt;=0.2,G29&gt;0),"PRICESSTAN",IF(G29&gt;0.2,"PRICESTAND","F")))))</f>
        <v>#DIV/0!</v>
      </c>
      <c r="T30" s="19" t="s">
        <v>25</v>
      </c>
      <c r="U30" s="19">
        <f>MIN(1,IFERROR('Input Processing'!D15/D17,0))</f>
        <v>0</v>
      </c>
    </row>
    <row r="31" spans="2:21" x14ac:dyDescent="0.25">
      <c r="T31" s="19" t="s">
        <v>26</v>
      </c>
      <c r="U31" s="19">
        <f>MIN(1,IFERROR('Input Processing'!D16/D18,0))</f>
        <v>0</v>
      </c>
    </row>
    <row r="32" spans="2:21" x14ac:dyDescent="0.25">
      <c r="T32" s="19" t="s">
        <v>27</v>
      </c>
      <c r="U32" s="19">
        <f>MIN(1,IFERROR('Input Processing'!D17/D19,0))</f>
        <v>0</v>
      </c>
    </row>
    <row r="34" spans="2:14" s="9" customFormat="1" x14ac:dyDescent="0.25"/>
    <row r="36" spans="2:14" x14ac:dyDescent="0.25">
      <c r="B36" s="10" t="s">
        <v>105</v>
      </c>
    </row>
    <row r="38" spans="2:14" x14ac:dyDescent="0.25">
      <c r="B38" s="6" t="s">
        <v>74</v>
      </c>
      <c r="C38" s="18" t="s">
        <v>4</v>
      </c>
      <c r="D38" s="18" t="s">
        <v>3</v>
      </c>
    </row>
    <row r="39" spans="2:14" x14ac:dyDescent="0.25">
      <c r="B39" s="7" t="s">
        <v>106</v>
      </c>
      <c r="C39" s="7">
        <f>D9/$D$6</f>
        <v>0.33333333333333331</v>
      </c>
      <c r="D39" s="7" t="e">
        <f>'Input Processing'!D7/'Input Processing'!$D$4</f>
        <v>#DIV/0!</v>
      </c>
      <c r="E39" s="25" t="s">
        <v>15</v>
      </c>
      <c r="F39" s="7" t="e">
        <f>IF((ABS(ROUNDDOWN((D39-C39)/(1/('Input Processing'!$D$4)),0)))=0,"",IF(D39&lt;&gt;C39,(IF(D39&gt;C39,"Remove","Add")&amp;" "&amp;ABS(ROUNDDOWN((D39-C39)/(1/('Input Processing'!$D$4)),0))),"")&amp;IF(D39&lt;&gt;C39," Standard",""))</f>
        <v>#DIV/0!</v>
      </c>
      <c r="I39" s="7">
        <f>C39*1.2</f>
        <v>0.39999999999999997</v>
      </c>
      <c r="J39" s="7">
        <f>C39*0.8</f>
        <v>0.26666666666666666</v>
      </c>
      <c r="K39" s="7" t="e">
        <f>IF(AND(D39&gt;J39,D39&lt;I39),2,0.1)</f>
        <v>#DIV/0!</v>
      </c>
      <c r="L39" s="7">
        <f>C39*1.4</f>
        <v>0.46666666666666662</v>
      </c>
      <c r="M39" s="7">
        <f>C39*0.6</f>
        <v>0.19999999999999998</v>
      </c>
      <c r="N39" s="7" t="e">
        <f>IF(AND(D39&gt;M39,D39&lt;L39),1,0.1)</f>
        <v>#DIV/0!</v>
      </c>
    </row>
    <row r="40" spans="2:14" x14ac:dyDescent="0.25">
      <c r="B40" s="7" t="s">
        <v>107</v>
      </c>
      <c r="C40" s="7">
        <f t="shared" ref="C40:C41" si="0">D10/$D$6</f>
        <v>0.5</v>
      </c>
      <c r="D40" s="7" t="e">
        <f>'Input Processing'!D8/'Input Processing'!$D$4</f>
        <v>#DIV/0!</v>
      </c>
      <c r="E40" s="25" t="s">
        <v>17</v>
      </c>
      <c r="F40" s="7" t="e">
        <f>IF((ABS(ROUNDDOWN((D40-C40)/(1/('Input Processing'!$D$4)),0)))=0,"",IF(D40&lt;&gt;C40,(IF(D40&gt;C40,"Remove","Add")&amp;" "&amp;ABS(ROUNDDOWN((D40-C40)/(1/('Input Processing'!$D$4)),0))),"")&amp;IF(D40&lt;&gt;C40," Premium",""))</f>
        <v>#DIV/0!</v>
      </c>
      <c r="I40" s="7">
        <f t="shared" ref="I40:I41" si="1">C40*1.2</f>
        <v>0.6</v>
      </c>
      <c r="J40" s="7">
        <f t="shared" ref="J40:J41" si="2">C40*0.8</f>
        <v>0.4</v>
      </c>
      <c r="K40" s="7" t="e">
        <f>IF(AND(D40&gt;J40,D40&lt;I40),2,0.1)</f>
        <v>#DIV/0!</v>
      </c>
      <c r="L40" s="7">
        <f t="shared" ref="L40:L41" si="3">C40*1.4</f>
        <v>0.7</v>
      </c>
      <c r="M40" s="7">
        <f t="shared" ref="M40:M41" si="4">C40*0.6</f>
        <v>0.3</v>
      </c>
      <c r="N40" s="7" t="e">
        <f t="shared" ref="N40:N41" si="5">IF(AND(D40&gt;M40,D40&lt;L40),1,0.1)</f>
        <v>#DIV/0!</v>
      </c>
    </row>
    <row r="41" spans="2:14" x14ac:dyDescent="0.25">
      <c r="B41" s="7" t="s">
        <v>108</v>
      </c>
      <c r="C41" s="7">
        <f t="shared" si="0"/>
        <v>0.16666666666666666</v>
      </c>
      <c r="D41" s="7" t="e">
        <f>'Input Processing'!D9/'Input Processing'!$D$4</f>
        <v>#DIV/0!</v>
      </c>
      <c r="E41" s="25" t="s">
        <v>19</v>
      </c>
      <c r="F41" s="7" t="e">
        <f>IF((ABS(ROUNDDOWN((D41-C41)/(1/('Input Processing'!$D$4)),0)))=0,"",IF(D41&lt;&gt;C41,(IF(D41&gt;C41,"Remove","Add")&amp;" "&amp;ABS(ROUNDDOWN((D41-C41)/(1/('Input Processing'!$D$4)),0))),"")&amp;IF(D41&lt;&gt;C41," Super Premium",""))</f>
        <v>#DIV/0!</v>
      </c>
      <c r="I41" s="7">
        <f t="shared" si="1"/>
        <v>0.19999999999999998</v>
      </c>
      <c r="J41" s="7">
        <f t="shared" si="2"/>
        <v>0.13333333333333333</v>
      </c>
      <c r="K41" s="7" t="e">
        <f>IF(AND(D41&gt;J41,D41&lt;I41),2,0.1)</f>
        <v>#DIV/0!</v>
      </c>
      <c r="L41" s="7">
        <f t="shared" si="3"/>
        <v>0.23333333333333331</v>
      </c>
      <c r="M41" s="7">
        <f t="shared" si="4"/>
        <v>9.9999999999999992E-2</v>
      </c>
      <c r="N41" s="7" t="e">
        <f t="shared" si="5"/>
        <v>#DIV/0!</v>
      </c>
    </row>
    <row r="42" spans="2:14" x14ac:dyDescent="0.25">
      <c r="K42" s="23" t="e">
        <f>SUM(K39:K41,N39:N41)/9</f>
        <v>#DIV/0!</v>
      </c>
    </row>
    <row r="43" spans="2:14" x14ac:dyDescent="0.25">
      <c r="B43" s="6" t="s">
        <v>75</v>
      </c>
      <c r="C43" s="18" t="s">
        <v>4</v>
      </c>
      <c r="D43" s="18" t="s">
        <v>3</v>
      </c>
      <c r="E43" s="18" t="s">
        <v>109</v>
      </c>
    </row>
    <row r="44" spans="2:14" x14ac:dyDescent="0.25">
      <c r="B44" s="7" t="s">
        <v>22</v>
      </c>
      <c r="C44" s="7">
        <f>D14</f>
        <v>3</v>
      </c>
      <c r="D44" s="7">
        <f>'Input Processing'!D12</f>
        <v>0</v>
      </c>
      <c r="E44" s="7">
        <f>C44-D44</f>
        <v>3</v>
      </c>
      <c r="F44" s="25" t="s">
        <v>22</v>
      </c>
      <c r="G44" s="7" t="str">
        <f t="shared" ref="G44:G47" si="6">IF(E44&gt;=1,"Add"&amp;" "&amp;ABS(E44)&amp;" "&amp;B44,IF(E44&lt;=-1,"Remove"&amp;" "&amp;ABS(E44)&amp;" "&amp;B44,""))</f>
        <v>Add 3 Juniper</v>
      </c>
    </row>
    <row r="45" spans="2:14" x14ac:dyDescent="0.25">
      <c r="B45" s="7" t="s">
        <v>23</v>
      </c>
      <c r="C45" s="7">
        <f t="shared" ref="C45:C49" si="7">D15</f>
        <v>1</v>
      </c>
      <c r="D45" s="7">
        <f>'Input Processing'!D13</f>
        <v>0</v>
      </c>
      <c r="E45" s="7">
        <f t="shared" ref="E45:E49" si="8">C45-D45</f>
        <v>1</v>
      </c>
      <c r="F45" s="25" t="s">
        <v>23</v>
      </c>
      <c r="G45" s="7" t="str">
        <f t="shared" si="6"/>
        <v>Add 1 Citrus</v>
      </c>
    </row>
    <row r="46" spans="2:14" x14ac:dyDescent="0.25">
      <c r="B46" s="7" t="s">
        <v>24</v>
      </c>
      <c r="C46" s="7">
        <f t="shared" si="7"/>
        <v>0</v>
      </c>
      <c r="D46" s="7">
        <f>'Input Processing'!D14</f>
        <v>0</v>
      </c>
      <c r="E46" s="7">
        <f t="shared" si="8"/>
        <v>0</v>
      </c>
      <c r="F46" s="25" t="s">
        <v>24</v>
      </c>
      <c r="G46" s="7" t="str">
        <f t="shared" si="6"/>
        <v/>
      </c>
    </row>
    <row r="47" spans="2:14" x14ac:dyDescent="0.25">
      <c r="B47" s="7" t="s">
        <v>25</v>
      </c>
      <c r="C47" s="7">
        <f t="shared" si="7"/>
        <v>0</v>
      </c>
      <c r="D47" s="7">
        <f>'Input Processing'!D15</f>
        <v>0</v>
      </c>
      <c r="E47" s="7">
        <f t="shared" si="8"/>
        <v>0</v>
      </c>
      <c r="F47" s="25" t="s">
        <v>25</v>
      </c>
      <c r="G47" s="7" t="str">
        <f t="shared" si="6"/>
        <v/>
      </c>
    </row>
    <row r="48" spans="2:14" x14ac:dyDescent="0.25">
      <c r="B48" s="7" t="s">
        <v>26</v>
      </c>
      <c r="C48" s="7">
        <f t="shared" si="7"/>
        <v>0</v>
      </c>
      <c r="D48" s="7">
        <f>'Input Processing'!D16</f>
        <v>0</v>
      </c>
      <c r="E48" s="7">
        <f t="shared" si="8"/>
        <v>0</v>
      </c>
      <c r="F48" s="25" t="s">
        <v>26</v>
      </c>
      <c r="G48" s="7" t="str">
        <f>IF(E48&gt;=1,"Add"&amp;" "&amp;ABS(E48)&amp;" "&amp;B48,IF(E48&lt;=-1,"Remove"&amp;" "&amp;ABS(E48)&amp;" "&amp;B48,""))</f>
        <v/>
      </c>
    </row>
    <row r="49" spans="2:24" x14ac:dyDescent="0.25">
      <c r="B49" s="7" t="s">
        <v>27</v>
      </c>
      <c r="C49" s="7">
        <f t="shared" si="7"/>
        <v>2</v>
      </c>
      <c r="D49" s="7">
        <f>'Input Processing'!D17</f>
        <v>0</v>
      </c>
      <c r="E49" s="7">
        <f t="shared" si="8"/>
        <v>2</v>
      </c>
      <c r="F49" s="25" t="s">
        <v>27</v>
      </c>
      <c r="G49" s="7" t="str">
        <f>IF(E49&gt;=1,"Add"&amp;" "&amp;ABS(E49)&amp;" "&amp;B49,IF(E49&lt;=-1,"Remove"&amp;" "&amp;ABS(E49)&amp;" "&amp;B49,""))</f>
        <v>Add 2 Fruit</v>
      </c>
    </row>
    <row r="51" spans="2:24" s="9" customFormat="1" x14ac:dyDescent="0.25"/>
    <row r="53" spans="2:24" x14ac:dyDescent="0.25">
      <c r="B53" s="10" t="s">
        <v>112</v>
      </c>
    </row>
    <row r="54" spans="2:24" x14ac:dyDescent="0.25">
      <c r="B54" s="10"/>
    </row>
    <row r="55" spans="2:24" x14ac:dyDescent="0.25">
      <c r="B55" s="6" t="s">
        <v>74</v>
      </c>
      <c r="L55" s="6" t="s">
        <v>75</v>
      </c>
    </row>
    <row r="56" spans="2:24" x14ac:dyDescent="0.25">
      <c r="H56" s="16">
        <v>1</v>
      </c>
      <c r="J56" s="16">
        <v>2</v>
      </c>
      <c r="K56" s="26" t="s">
        <v>113</v>
      </c>
      <c r="L56" s="7" t="s">
        <v>22</v>
      </c>
      <c r="M56" s="7" t="str">
        <f>IF(E44&gt;0,"JU",0)</f>
        <v>JU</v>
      </c>
      <c r="N56" s="7">
        <f>IF(E44&lt;0,"JU",0)</f>
        <v>0</v>
      </c>
      <c r="Q56" s="16">
        <v>1</v>
      </c>
      <c r="S56" s="16">
        <v>2</v>
      </c>
      <c r="V56" s="16">
        <v>1</v>
      </c>
      <c r="X56" s="16">
        <v>2</v>
      </c>
    </row>
    <row r="57" spans="2:24" x14ac:dyDescent="0.25">
      <c r="B57" s="19" t="s">
        <v>106</v>
      </c>
      <c r="C57" s="30" t="e">
        <f>IF(D39-C39&lt;0,"S","0")</f>
        <v>#DIV/0!</v>
      </c>
      <c r="D57" s="30" t="e">
        <f>IF(D39-C39&gt;0,"S","0")</f>
        <v>#DIV/0!</v>
      </c>
      <c r="E57" s="31" t="s">
        <v>15</v>
      </c>
      <c r="F57" s="24"/>
      <c r="G57" s="27" t="s">
        <v>110</v>
      </c>
      <c r="H57" s="7" t="e">
        <f>VLOOKUP(C60,B57:E59,4,FALSE)</f>
        <v>#DIV/0!</v>
      </c>
      <c r="J57" s="7" t="e">
        <f>VLOOKUP(IF(C61=C60,C62,C61),B57:E59,4,FALSE)</f>
        <v>#DIV/0!</v>
      </c>
      <c r="K57" s="26" t="s">
        <v>114</v>
      </c>
      <c r="L57" s="7" t="s">
        <v>23</v>
      </c>
      <c r="M57" s="7" t="str">
        <f>IF(E45&gt;0,"CI",0)</f>
        <v>CI</v>
      </c>
      <c r="N57" s="7">
        <f>IF(E45&lt;0,"CI",0)</f>
        <v>0</v>
      </c>
      <c r="P57" s="27" t="s">
        <v>110</v>
      </c>
      <c r="Q57" s="7" t="str">
        <f>VLOOKUP(M62,K56:L61,2,FALSE)</f>
        <v>Juniper</v>
      </c>
      <c r="S57" s="7" t="str">
        <f>VLOOKUP(IF(M63=M62,M64,M62),K56:L61,2,FALSE)</f>
        <v>Juniper</v>
      </c>
      <c r="U57" s="6" t="s">
        <v>118</v>
      </c>
      <c r="V57" s="7" t="e">
        <f>Q57&amp;H57</f>
        <v>#DIV/0!</v>
      </c>
      <c r="X57" s="7" t="e">
        <f t="shared" ref="X57" si="9">S57&amp;J57</f>
        <v>#DIV/0!</v>
      </c>
    </row>
    <row r="58" spans="2:24" x14ac:dyDescent="0.25">
      <c r="B58" s="19" t="s">
        <v>107</v>
      </c>
      <c r="C58" s="30" t="e">
        <f>IF(D40-C40&lt;0,"P","0")</f>
        <v>#DIV/0!</v>
      </c>
      <c r="D58" s="30" t="e">
        <f>IF(D40-C40&gt;0,"P","0")</f>
        <v>#DIV/0!</v>
      </c>
      <c r="E58" s="31" t="s">
        <v>17</v>
      </c>
      <c r="F58" s="24"/>
      <c r="G58" s="27" t="s">
        <v>111</v>
      </c>
      <c r="H58" s="7" t="e">
        <f>VLOOKUP(D60,B57:E59,4,FALSE)</f>
        <v>#DIV/0!</v>
      </c>
      <c r="J58" s="7" t="e">
        <f>VLOOKUP(IF(D61=D60,D62,D61),B57:E59,4,FALSE)</f>
        <v>#DIV/0!</v>
      </c>
      <c r="K58" s="26" t="s">
        <v>108</v>
      </c>
      <c r="L58" s="7" t="s">
        <v>24</v>
      </c>
      <c r="M58" s="7">
        <f>IF(E46&gt;0,"SP",0)</f>
        <v>0</v>
      </c>
      <c r="N58" s="7">
        <f>IF(E46&lt;0,"SP",0)</f>
        <v>0</v>
      </c>
      <c r="P58" s="27" t="s">
        <v>111</v>
      </c>
      <c r="Q58" s="7" t="e">
        <f>VLOOKUP(N62,K56:L61,2,FALSE)</f>
        <v>#N/A</v>
      </c>
      <c r="S58" s="7" t="e">
        <f>VLOOKUP(IF(N62=N63,N64,N63),K56:L61,2,FALSE)</f>
        <v>#N/A</v>
      </c>
      <c r="U58" s="6" t="s">
        <v>119</v>
      </c>
      <c r="V58" s="7" t="e">
        <f>Q58&amp;H58</f>
        <v>#N/A</v>
      </c>
      <c r="X58" s="7" t="e">
        <f>S58&amp;J58</f>
        <v>#N/A</v>
      </c>
    </row>
    <row r="59" spans="2:24" x14ac:dyDescent="0.25">
      <c r="B59" s="19" t="s">
        <v>108</v>
      </c>
      <c r="C59" s="32" t="e">
        <f>IF(D41-C41&lt;0,"SP","0")</f>
        <v>#DIV/0!</v>
      </c>
      <c r="D59" s="32" t="e">
        <f>IF(D41-C41&gt;0,"SP","0")</f>
        <v>#DIV/0!</v>
      </c>
      <c r="E59" s="31" t="s">
        <v>19</v>
      </c>
      <c r="F59" s="24"/>
      <c r="K59" s="26" t="s">
        <v>115</v>
      </c>
      <c r="L59" s="7" t="s">
        <v>25</v>
      </c>
      <c r="M59" s="7">
        <f>IF(E47&gt;0,"HE",0)</f>
        <v>0</v>
      </c>
      <c r="N59" s="7">
        <f>IF(E47&lt;0,"HE",0)</f>
        <v>0</v>
      </c>
    </row>
    <row r="60" spans="2:24" x14ac:dyDescent="0.25">
      <c r="B60" s="28">
        <v>1</v>
      </c>
      <c r="C60" s="33" t="e">
        <f>IF(C59="0",IF(C58="0",C57,C58),C59)</f>
        <v>#DIV/0!</v>
      </c>
      <c r="D60" s="34" t="e">
        <f>IF(D59="0",IF(D58="0",D57,D58),D59)</f>
        <v>#DIV/0!</v>
      </c>
      <c r="E60" s="31"/>
      <c r="F60" s="12"/>
      <c r="G60" s="12"/>
      <c r="K60" s="26" t="s">
        <v>116</v>
      </c>
      <c r="L60" s="7" t="s">
        <v>26</v>
      </c>
      <c r="M60" s="7">
        <f>IF(E48&gt;0,"FL",0)</f>
        <v>0</v>
      </c>
      <c r="N60" s="7">
        <f>IF(E48&lt;0,"FL",0)</f>
        <v>0</v>
      </c>
    </row>
    <row r="61" spans="2:24" x14ac:dyDescent="0.25">
      <c r="B61" s="29">
        <v>2</v>
      </c>
      <c r="C61" s="31" t="e">
        <f>IF(C58="0",IF(C57="0",C59,C57),C58)</f>
        <v>#DIV/0!</v>
      </c>
      <c r="D61" s="35" t="s">
        <v>108</v>
      </c>
      <c r="E61" s="19"/>
      <c r="G61" s="7" t="e">
        <f>IF((LEN(C60)+LEN(C61)+LEN(C62)+LEN(D60)+LEN(D61)+LEN(D62)+(LEN(M62)+LEN(M63)+LEN(M64)+LEN(N62)+LEN(N63)+LEN(N64)))=12,"0","1")</f>
        <v>#DIV/0!</v>
      </c>
      <c r="K61" s="26" t="s">
        <v>117</v>
      </c>
      <c r="L61" s="7" t="s">
        <v>27</v>
      </c>
      <c r="M61" s="7" t="str">
        <f>IF(E49&gt;0,"FR",0)</f>
        <v>FR</v>
      </c>
      <c r="N61" s="7">
        <f>IF(E49&lt;0,"FR",0)</f>
        <v>0</v>
      </c>
    </row>
    <row r="62" spans="2:24" x14ac:dyDescent="0.25">
      <c r="B62" s="38">
        <v>3</v>
      </c>
      <c r="C62" s="36" t="e">
        <f>IF(C57="0",IF(C59="0",C58,C59),C57)</f>
        <v>#DIV/0!</v>
      </c>
      <c r="D62" s="37" t="e">
        <f>IF(D57="0",IF(D59="0",D58,D59),D57)</f>
        <v>#DIV/0!</v>
      </c>
      <c r="E62" s="19"/>
      <c r="L62" s="28">
        <v>1</v>
      </c>
      <c r="M62" s="33" t="str">
        <f>IF(M56&lt;&gt;0,M56,IF(M57&lt;&gt;0,M57,IF(M58&lt;&gt;0,M58,IF(M59&lt;&gt;0,M59,IF(M60&lt;&gt;0,M60,IF(M61&lt;&gt;0,M61,0))))))</f>
        <v>JU</v>
      </c>
      <c r="N62" s="34">
        <f>IF(N56&lt;&gt;0,N56,IF(N57&lt;&gt;0,N57,IF(N58&lt;&gt;0,N58,IF(N59&lt;&gt;0,N59,IF(N60&lt;&gt;0,N60,IF(N61&lt;&gt;0,N61,0))))))</f>
        <v>0</v>
      </c>
    </row>
    <row r="63" spans="2:24" x14ac:dyDescent="0.25">
      <c r="L63" s="29">
        <v>2</v>
      </c>
      <c r="M63" s="31" t="str">
        <f>IF(M61&lt;&gt;0,M61,IF(M60&lt;&gt;0,M60,IF(M59&lt;&gt;0,M59,IF(M58&lt;&gt;0,M58,IF(M57&lt;&gt;0,M57,IF(M56&lt;&gt;0,M56,0))))))</f>
        <v>FR</v>
      </c>
      <c r="N63" s="35">
        <f>IF(N61&lt;&gt;0,N61,IF(N60&lt;&gt;0,N60,IF(N59&lt;&gt;0,N59,IF(N58&lt;&gt;0,N58,IF(N57&lt;&gt;0,N57,IF(N56&lt;&gt;0,N56,0))))))</f>
        <v>0</v>
      </c>
    </row>
    <row r="64" spans="2:24" x14ac:dyDescent="0.25">
      <c r="B64" s="6"/>
      <c r="L64" s="38">
        <v>3</v>
      </c>
      <c r="M64" s="36" t="str">
        <f>IF(M61&lt;&gt;0,M61,IF(M56&lt;&gt;0,M56,IF(M60&lt;&gt;0,M60,IF(M57&lt;&gt;0,M57,IF(M59&lt;&gt;0,M59,IF(M58&lt;&gt;0,M58,0))))))</f>
        <v>FR</v>
      </c>
      <c r="N64" s="37">
        <f>IF(N61&lt;&gt;0,N61,IF(N56&lt;&gt;0,N56,IF(N60&lt;&gt;0,N60,IF(N57&lt;&gt;0,N57,IF(N59&lt;&gt;0,N59,IF(N58&lt;&gt;0,N58,0))))))</f>
        <v>0</v>
      </c>
    </row>
    <row r="65" spans="2:19" x14ac:dyDescent="0.25">
      <c r="B65" s="6"/>
    </row>
    <row r="66" spans="2:19" x14ac:dyDescent="0.25">
      <c r="B66" s="6"/>
    </row>
    <row r="67" spans="2:19" x14ac:dyDescent="0.25">
      <c r="C67" s="7">
        <v>1</v>
      </c>
      <c r="D67" s="7">
        <v>2</v>
      </c>
      <c r="E67" s="7">
        <v>3</v>
      </c>
      <c r="F67" s="7">
        <v>4</v>
      </c>
      <c r="G67" s="7">
        <v>5</v>
      </c>
      <c r="H67" s="7">
        <v>6</v>
      </c>
      <c r="I67" s="7">
        <v>7</v>
      </c>
      <c r="J67" s="7">
        <v>8</v>
      </c>
      <c r="K67" s="7">
        <v>9</v>
      </c>
      <c r="L67" s="7">
        <v>10</v>
      </c>
      <c r="M67" s="7">
        <v>11</v>
      </c>
      <c r="N67" s="7">
        <v>12</v>
      </c>
      <c r="O67" s="7">
        <v>13</v>
      </c>
      <c r="P67" s="7">
        <v>14</v>
      </c>
      <c r="Q67" s="7">
        <v>15</v>
      </c>
      <c r="R67" s="7">
        <v>16</v>
      </c>
    </row>
    <row r="68" spans="2:19" x14ac:dyDescent="0.25">
      <c r="B68" s="6"/>
      <c r="C68" s="7" t="e">
        <f>VLOOKUP($V$57,Recommendations!E1:F18,2,FALSE)</f>
        <v>#DIV/0!</v>
      </c>
      <c r="D68" s="7" t="e">
        <f>VLOOKUP($V$57,Recommendations!G1:H18,2,FALSE)</f>
        <v>#DIV/0!</v>
      </c>
      <c r="E68" s="7" t="e">
        <f>VLOOKUP($V$57,Recommendations!I1:J18,2,FALSE)</f>
        <v>#DIV/0!</v>
      </c>
      <c r="F68" s="7" t="e">
        <f>VLOOKUP($V$57,Recommendations!K1:L18,2,FALSE)</f>
        <v>#DIV/0!</v>
      </c>
      <c r="G68" s="7" t="e">
        <f>VLOOKUP($V$57,Recommendations!M1:N18,2,FALSE)</f>
        <v>#DIV/0!</v>
      </c>
      <c r="H68" s="7" t="e">
        <f>VLOOKUP($V$57,Recommendations!O1:P18,2,FALSE)</f>
        <v>#DIV/0!</v>
      </c>
      <c r="I68" s="7" t="e">
        <f>VLOOKUP($V$57,Recommendations!Q1:R18,2,FALSE)</f>
        <v>#DIV/0!</v>
      </c>
      <c r="J68" s="7" t="e">
        <f>VLOOKUP($V$57,Recommendations!S1:T18,2,FALSE)</f>
        <v>#DIV/0!</v>
      </c>
      <c r="K68" s="7" t="e">
        <f>VLOOKUP($V$57,Recommendations!U1:V18,2,FALSE)</f>
        <v>#DIV/0!</v>
      </c>
      <c r="L68" s="7" t="e">
        <f>VLOOKUP($V$57,Recommendations!W1:X18,2,FALSE)</f>
        <v>#DIV/0!</v>
      </c>
      <c r="M68" s="7" t="e">
        <f>VLOOKUP($V$57,Recommendations!Y1:Z18,2,FALSE)</f>
        <v>#DIV/0!</v>
      </c>
      <c r="N68" s="7" t="e">
        <f>VLOOKUP($V$57,Recommendations!AA1:AB18,2,FALSE)</f>
        <v>#DIV/0!</v>
      </c>
      <c r="O68" s="7" t="e">
        <f>VLOOKUP($V$57,Recommendations!AC1:AD18,2,FALSE)</f>
        <v>#DIV/0!</v>
      </c>
      <c r="P68" s="7" t="e">
        <f>VLOOKUP($V$57,Recommendations!AE1:AF18,2,FALSE)</f>
        <v>#DIV/0!</v>
      </c>
      <c r="Q68" s="7" t="e">
        <f>VLOOKUP($V$57,Recommendations!AG1:AH18,2,FALSE)</f>
        <v>#DIV/0!</v>
      </c>
      <c r="R68" s="7" t="e">
        <f>VLOOKUP($V$57,Recommendations!AI1:AJ18,2,FALSE)</f>
        <v>#DIV/0!</v>
      </c>
    </row>
    <row r="69" spans="2:19" ht="15.75" thickBot="1" x14ac:dyDescent="0.3">
      <c r="C69" s="7">
        <f>COUNTIF('Input Processing'!$J$25:$J$54,C68)</f>
        <v>0</v>
      </c>
      <c r="D69" s="7">
        <f>COUNTIF('Input Processing'!$J$25:$J$54,D68)</f>
        <v>0</v>
      </c>
      <c r="E69" s="7">
        <f>COUNTIF('Input Processing'!$J$25:$J$54,E68)</f>
        <v>0</v>
      </c>
      <c r="F69" s="7">
        <f>COUNTIF('Input Processing'!$J$25:$J$54,F68)</f>
        <v>0</v>
      </c>
      <c r="G69" s="7">
        <f>COUNTIF('Input Processing'!$J$25:$J$54,G68)</f>
        <v>0</v>
      </c>
      <c r="H69" s="7">
        <f>COUNTIF('Input Processing'!$J$25:$J$54,H68)</f>
        <v>0</v>
      </c>
      <c r="I69" s="7">
        <f>COUNTIF('Input Processing'!$J$25:$J$54,I68)</f>
        <v>0</v>
      </c>
      <c r="J69" s="7">
        <f>COUNTIF('Input Processing'!$J$25:$J$54,J68)</f>
        <v>0</v>
      </c>
      <c r="K69" s="7">
        <f>COUNTIF('Input Processing'!$J$25:$J$54,K68)</f>
        <v>0</v>
      </c>
      <c r="L69" s="7">
        <f>COUNTIF('Input Processing'!$J$25:$J$54,L68)</f>
        <v>0</v>
      </c>
      <c r="M69" s="7">
        <f>COUNTIF('Input Processing'!$J$25:$J$54,M68)</f>
        <v>0</v>
      </c>
      <c r="N69" s="7">
        <f>COUNTIF('Input Processing'!$J$25:$J$54,N68)</f>
        <v>0</v>
      </c>
      <c r="O69" s="7">
        <f>COUNTIF('Input Processing'!$J$25:$J$54,O68)</f>
        <v>0</v>
      </c>
      <c r="P69" s="7">
        <f>COUNTIF('Input Processing'!$J$25:$J$54,P68)</f>
        <v>0</v>
      </c>
      <c r="Q69" s="7">
        <f>COUNTIF('Input Processing'!$J$25:$J$54,Q68)</f>
        <v>0</v>
      </c>
      <c r="R69" s="7">
        <f>COUNTIF('Input Processing'!$J$25:$J$54,R68)</f>
        <v>0</v>
      </c>
    </row>
    <row r="70" spans="2:19" ht="15.75" thickBot="1" x14ac:dyDescent="0.3">
      <c r="C70" s="11" t="e">
        <f>IF(C69=0,C68,D70)</f>
        <v>#DIV/0!</v>
      </c>
      <c r="D70" s="7" t="e">
        <f t="shared" ref="D70:R70" si="10">IF(D69=0,D68,E70)</f>
        <v>#DIV/0!</v>
      </c>
      <c r="E70" s="7" t="e">
        <f t="shared" si="10"/>
        <v>#DIV/0!</v>
      </c>
      <c r="F70" s="7" t="e">
        <f t="shared" si="10"/>
        <v>#DIV/0!</v>
      </c>
      <c r="G70" s="7" t="e">
        <f t="shared" si="10"/>
        <v>#DIV/0!</v>
      </c>
      <c r="H70" s="7" t="e">
        <f t="shared" si="10"/>
        <v>#DIV/0!</v>
      </c>
      <c r="I70" s="7" t="e">
        <f t="shared" si="10"/>
        <v>#DIV/0!</v>
      </c>
      <c r="J70" s="7" t="e">
        <f t="shared" si="10"/>
        <v>#DIV/0!</v>
      </c>
      <c r="K70" s="7" t="e">
        <f t="shared" si="10"/>
        <v>#DIV/0!</v>
      </c>
      <c r="L70" s="7" t="e">
        <f t="shared" si="10"/>
        <v>#DIV/0!</v>
      </c>
      <c r="M70" s="7" t="e">
        <f t="shared" si="10"/>
        <v>#DIV/0!</v>
      </c>
      <c r="N70" s="7" t="e">
        <f t="shared" si="10"/>
        <v>#DIV/0!</v>
      </c>
      <c r="O70" s="7" t="e">
        <f t="shared" si="10"/>
        <v>#DIV/0!</v>
      </c>
      <c r="P70" s="7" t="e">
        <f t="shared" si="10"/>
        <v>#DIV/0!</v>
      </c>
      <c r="Q70" s="7" t="e">
        <f t="shared" si="10"/>
        <v>#DIV/0!</v>
      </c>
      <c r="R70" s="7" t="e">
        <f t="shared" si="10"/>
        <v>#DIV/0!</v>
      </c>
    </row>
    <row r="71" spans="2:19" x14ac:dyDescent="0.25">
      <c r="C71" s="7" t="e">
        <f>VLOOKUP($X$57,Recommendations!E1:F18,2,FALSE)</f>
        <v>#DIV/0!</v>
      </c>
      <c r="D71" s="7" t="e">
        <f>VLOOKUP($X$57,Recommendations!G1:H18,2,FALSE)</f>
        <v>#DIV/0!</v>
      </c>
      <c r="E71" s="7" t="e">
        <f>VLOOKUP($X$57,Recommendations!I1:J18,2,FALSE)</f>
        <v>#DIV/0!</v>
      </c>
      <c r="F71" s="7" t="e">
        <f>VLOOKUP($X$57,Recommendations!K1:L18,2,FALSE)</f>
        <v>#DIV/0!</v>
      </c>
      <c r="G71" s="7" t="e">
        <f>VLOOKUP($X$57,Recommendations!M1:N18,2,FALSE)</f>
        <v>#DIV/0!</v>
      </c>
      <c r="H71" s="7" t="e">
        <f>VLOOKUP($X$57,Recommendations!O1:P18,2,FALSE)</f>
        <v>#DIV/0!</v>
      </c>
      <c r="I71" s="7" t="e">
        <f>VLOOKUP($X$57,Recommendations!Q1:R18,2,FALSE)</f>
        <v>#DIV/0!</v>
      </c>
      <c r="J71" s="7" t="e">
        <f>VLOOKUP($X$57,Recommendations!S1:T18,2,FALSE)</f>
        <v>#DIV/0!</v>
      </c>
      <c r="K71" s="7" t="e">
        <f>VLOOKUP($X$57,Recommendations!U1:V18,2,FALSE)</f>
        <v>#DIV/0!</v>
      </c>
      <c r="L71" s="7" t="e">
        <f>VLOOKUP($X$57,Recommendations!W1:X18,2,FALSE)</f>
        <v>#DIV/0!</v>
      </c>
      <c r="M71" s="7" t="e">
        <f>VLOOKUP($X$57,Recommendations!Y1:Z18,2,FALSE)</f>
        <v>#DIV/0!</v>
      </c>
      <c r="N71" s="7" t="e">
        <f>VLOOKUP($X$57,Recommendations!AA1:AB18,2,FALSE)</f>
        <v>#DIV/0!</v>
      </c>
      <c r="O71" s="7" t="e">
        <f>VLOOKUP($X$57,Recommendations!AC1:AD18,2,FALSE)</f>
        <v>#DIV/0!</v>
      </c>
      <c r="P71" s="7" t="e">
        <f>VLOOKUP($X$57,Recommendations!AE1:AF18,2,FALSE)</f>
        <v>#DIV/0!</v>
      </c>
      <c r="Q71" s="7" t="e">
        <f>VLOOKUP($X$57,Recommendations!AG1:AH18,2,FALSE)</f>
        <v>#DIV/0!</v>
      </c>
      <c r="R71" s="7" t="e">
        <f>VLOOKUP($X$57,Recommendations!AI1:AJ18,2,FALSE)</f>
        <v>#DIV/0!</v>
      </c>
    </row>
    <row r="72" spans="2:19" ht="15.75" thickBot="1" x14ac:dyDescent="0.3">
      <c r="C72" s="7">
        <f>COUNTIF('Input Processing'!$J$25:$J$54,C71)</f>
        <v>0</v>
      </c>
      <c r="D72" s="7">
        <f>COUNTIF('Input Processing'!$J$25:$J$54,D71)</f>
        <v>0</v>
      </c>
      <c r="E72" s="7">
        <f>COUNTIF('Input Processing'!$J$25:$J$54,E71)</f>
        <v>0</v>
      </c>
      <c r="F72" s="7">
        <f>COUNTIF('Input Processing'!$J$25:$J$54,F71)</f>
        <v>0</v>
      </c>
      <c r="G72" s="7">
        <f>COUNTIF('Input Processing'!$J$25:$J$54,G71)</f>
        <v>0</v>
      </c>
      <c r="H72" s="7">
        <f>COUNTIF('Input Processing'!$J$25:$J$54,H71)</f>
        <v>0</v>
      </c>
      <c r="I72" s="7">
        <f>COUNTIF('Input Processing'!$J$25:$J$54,I71)</f>
        <v>0</v>
      </c>
      <c r="J72" s="7">
        <f>COUNTIF('Input Processing'!$J$25:$J$54,J71)</f>
        <v>0</v>
      </c>
      <c r="K72" s="7">
        <f>COUNTIF('Input Processing'!$J$25:$J$54,K71)</f>
        <v>0</v>
      </c>
      <c r="L72" s="7">
        <f>COUNTIF('Input Processing'!$J$25:$J$54,L71)</f>
        <v>0</v>
      </c>
      <c r="M72" s="7">
        <f>COUNTIF('Input Processing'!$J$25:$J$54,M71)</f>
        <v>0</v>
      </c>
      <c r="N72" s="7">
        <f>COUNTIF('Input Processing'!$J$25:$J$54,N71)</f>
        <v>0</v>
      </c>
      <c r="O72" s="7">
        <f>COUNTIF('Input Processing'!$J$25:$J$54,O71)</f>
        <v>0</v>
      </c>
      <c r="P72" s="7">
        <f>COUNTIF('Input Processing'!$J$25:$J$54,P71)</f>
        <v>0</v>
      </c>
      <c r="Q72" s="7">
        <f>COUNTIF('Input Processing'!$J$25:$J$54,Q71)</f>
        <v>0</v>
      </c>
      <c r="R72" s="7">
        <f>COUNTIF('Input Processing'!$J$25:$J$54,R71)</f>
        <v>0</v>
      </c>
    </row>
    <row r="73" spans="2:19" ht="15.75" thickBot="1" x14ac:dyDescent="0.3">
      <c r="C73" s="11" t="e">
        <f>IF(C72=0,C71,D73)</f>
        <v>#DIV/0!</v>
      </c>
      <c r="D73" s="7" t="e">
        <f t="shared" ref="D73" si="11">IF(D72=0,D71,E73)</f>
        <v>#DIV/0!</v>
      </c>
      <c r="E73" s="7" t="e">
        <f t="shared" ref="E73" si="12">IF(E72=0,E71,F73)</f>
        <v>#DIV/0!</v>
      </c>
      <c r="F73" s="7" t="e">
        <f t="shared" ref="F73" si="13">IF(F72=0,F71,G73)</f>
        <v>#DIV/0!</v>
      </c>
      <c r="G73" s="7" t="e">
        <f t="shared" ref="G73" si="14">IF(G72=0,G71,H73)</f>
        <v>#DIV/0!</v>
      </c>
      <c r="H73" s="7" t="e">
        <f t="shared" ref="H73" si="15">IF(H72=0,H71,I73)</f>
        <v>#DIV/0!</v>
      </c>
      <c r="I73" s="7" t="e">
        <f t="shared" ref="I73" si="16">IF(I72=0,I71,J73)</f>
        <v>#DIV/0!</v>
      </c>
      <c r="J73" s="7" t="e">
        <f t="shared" ref="J73" si="17">IF(J72=0,J71,K73)</f>
        <v>#DIV/0!</v>
      </c>
      <c r="K73" s="7" t="e">
        <f t="shared" ref="K73" si="18">IF(K72=0,K71,L73)</f>
        <v>#DIV/0!</v>
      </c>
      <c r="L73" s="7" t="e">
        <f t="shared" ref="L73" si="19">IF(L72=0,L71,M73)</f>
        <v>#DIV/0!</v>
      </c>
      <c r="M73" s="7" t="e">
        <f t="shared" ref="M73" si="20">IF(M72=0,M71,N73)</f>
        <v>#DIV/0!</v>
      </c>
      <c r="N73" s="7" t="e">
        <f t="shared" ref="N73" si="21">IF(N72=0,N71,O73)</f>
        <v>#DIV/0!</v>
      </c>
      <c r="O73" s="7" t="e">
        <f t="shared" ref="O73" si="22">IF(O72=0,O71,P73)</f>
        <v>#DIV/0!</v>
      </c>
      <c r="P73" s="7" t="e">
        <f t="shared" ref="P73" si="23">IF(P72=0,P71,Q73)</f>
        <v>#DIV/0!</v>
      </c>
      <c r="Q73" s="7" t="e">
        <f t="shared" ref="Q73" si="24">IF(Q72=0,Q71,R73)</f>
        <v>#DIV/0!</v>
      </c>
      <c r="R73" s="7" t="e">
        <f t="shared" ref="R73" si="25">IF(R72=0,R71,S73)</f>
        <v>#DIV/0!</v>
      </c>
    </row>
    <row r="74" spans="2:19" x14ac:dyDescent="0.25">
      <c r="C74" s="7">
        <f>COUNTIF($C$78,C73)</f>
        <v>1</v>
      </c>
      <c r="D74" s="7">
        <f t="shared" ref="D74:S74" si="26">COUNTIF($C$78,D73)</f>
        <v>1</v>
      </c>
      <c r="E74" s="7">
        <f t="shared" si="26"/>
        <v>1</v>
      </c>
      <c r="F74" s="7">
        <f t="shared" si="26"/>
        <v>1</v>
      </c>
      <c r="G74" s="7">
        <f t="shared" si="26"/>
        <v>1</v>
      </c>
      <c r="H74" s="7">
        <f t="shared" si="26"/>
        <v>1</v>
      </c>
      <c r="I74" s="7">
        <f t="shared" si="26"/>
        <v>1</v>
      </c>
      <c r="J74" s="7">
        <f t="shared" si="26"/>
        <v>1</v>
      </c>
      <c r="K74" s="7">
        <f t="shared" si="26"/>
        <v>1</v>
      </c>
      <c r="L74" s="7">
        <f t="shared" si="26"/>
        <v>1</v>
      </c>
      <c r="M74" s="7">
        <f t="shared" si="26"/>
        <v>1</v>
      </c>
      <c r="N74" s="7">
        <f t="shared" si="26"/>
        <v>1</v>
      </c>
      <c r="O74" s="7">
        <f t="shared" si="26"/>
        <v>1</v>
      </c>
      <c r="P74" s="7">
        <f t="shared" si="26"/>
        <v>1</v>
      </c>
      <c r="Q74" s="7">
        <f t="shared" si="26"/>
        <v>1</v>
      </c>
      <c r="R74" s="7">
        <f t="shared" si="26"/>
        <v>1</v>
      </c>
      <c r="S74" s="7">
        <f t="shared" si="26"/>
        <v>0</v>
      </c>
    </row>
    <row r="75" spans="2:19" x14ac:dyDescent="0.25">
      <c r="C75" s="7" t="e">
        <f>IF(C74=0,$C$71,D73)</f>
        <v>#DIV/0!</v>
      </c>
      <c r="D75" s="7" t="e">
        <f t="shared" ref="D75:S75" si="27">IF(D74=0,$C$71,E73)</f>
        <v>#DIV/0!</v>
      </c>
      <c r="E75" s="7" t="e">
        <f t="shared" si="27"/>
        <v>#DIV/0!</v>
      </c>
      <c r="F75" s="7" t="e">
        <f t="shared" si="27"/>
        <v>#DIV/0!</v>
      </c>
      <c r="G75" s="7" t="e">
        <f t="shared" si="27"/>
        <v>#DIV/0!</v>
      </c>
      <c r="H75" s="7" t="e">
        <f t="shared" si="27"/>
        <v>#DIV/0!</v>
      </c>
      <c r="I75" s="7" t="e">
        <f t="shared" si="27"/>
        <v>#DIV/0!</v>
      </c>
      <c r="J75" s="7" t="e">
        <f t="shared" si="27"/>
        <v>#DIV/0!</v>
      </c>
      <c r="K75" s="7" t="e">
        <f t="shared" si="27"/>
        <v>#DIV/0!</v>
      </c>
      <c r="L75" s="7" t="e">
        <f t="shared" si="27"/>
        <v>#DIV/0!</v>
      </c>
      <c r="M75" s="7" t="e">
        <f t="shared" si="27"/>
        <v>#DIV/0!</v>
      </c>
      <c r="N75" s="7" t="e">
        <f t="shared" si="27"/>
        <v>#DIV/0!</v>
      </c>
      <c r="O75" s="7" t="e">
        <f t="shared" si="27"/>
        <v>#DIV/0!</v>
      </c>
      <c r="P75" s="7" t="e">
        <f t="shared" si="27"/>
        <v>#DIV/0!</v>
      </c>
      <c r="Q75" s="7" t="e">
        <f t="shared" si="27"/>
        <v>#DIV/0!</v>
      </c>
      <c r="R75" s="7">
        <f t="shared" si="27"/>
        <v>0</v>
      </c>
      <c r="S75" s="7" t="e">
        <f t="shared" si="27"/>
        <v>#DIV/0!</v>
      </c>
    </row>
    <row r="76" spans="2:19" x14ac:dyDescent="0.25">
      <c r="B76" s="6" t="s">
        <v>126</v>
      </c>
    </row>
    <row r="77" spans="2:19" x14ac:dyDescent="0.25">
      <c r="B77" s="7" t="s">
        <v>118</v>
      </c>
    </row>
    <row r="78" spans="2:19" x14ac:dyDescent="0.25">
      <c r="B78" s="7">
        <v>1</v>
      </c>
      <c r="C78" s="7" t="e">
        <f>C70</f>
        <v>#DIV/0!</v>
      </c>
      <c r="F78" s="7" t="s">
        <v>63</v>
      </c>
      <c r="G78" s="39">
        <f>IF('Input Processing'!D4&gt;D6,1-(('Input Processing'!D4-D6)/D6),'Input Processing'!D4/D6)</f>
        <v>0</v>
      </c>
    </row>
    <row r="79" spans="2:19" x14ac:dyDescent="0.25">
      <c r="B79" s="7">
        <v>2</v>
      </c>
      <c r="C79" s="7" t="e">
        <f>IF(C74&lt;&gt;0,C75,C73)</f>
        <v>#DIV/0!</v>
      </c>
      <c r="F79" s="7" t="s">
        <v>74</v>
      </c>
      <c r="G79" s="39" t="e">
        <f>K42</f>
        <v>#DIV/0!</v>
      </c>
    </row>
    <row r="80" spans="2:19" x14ac:dyDescent="0.25">
      <c r="F80" s="7" t="s">
        <v>32</v>
      </c>
      <c r="G80" s="39">
        <f>R27</f>
        <v>0</v>
      </c>
    </row>
    <row r="81" spans="2:26" x14ac:dyDescent="0.25">
      <c r="B81" s="7" t="s">
        <v>119</v>
      </c>
      <c r="F81" s="7" t="s">
        <v>29</v>
      </c>
      <c r="G81" s="39" t="e">
        <f>((G78*(1/3))+(G79*(1/3))+(G80*(1/3)))</f>
        <v>#DIV/0!</v>
      </c>
    </row>
    <row r="82" spans="2:26" x14ac:dyDescent="0.25">
      <c r="B82" s="7">
        <v>1</v>
      </c>
      <c r="C82" s="7" t="e">
        <f>VLOOKUP(V58,'Input Processing'!I25:J54,2,FALSE)</f>
        <v>#N/A</v>
      </c>
    </row>
    <row r="83" spans="2:26" x14ac:dyDescent="0.25">
      <c r="B83" s="7">
        <v>2</v>
      </c>
      <c r="C83" s="7" t="e">
        <f>VLOOKUP(X58,'Input Processing'!I25:J54,2,FALSE)</f>
        <v>#N/A</v>
      </c>
    </row>
    <row r="84" spans="2:26" s="9" customFormat="1" x14ac:dyDescent="0.25"/>
    <row r="86" spans="2:26" x14ac:dyDescent="0.25">
      <c r="B86" s="6" t="s">
        <v>130</v>
      </c>
      <c r="K86" s="7" t="str">
        <f>VLOOKUP($H$110,Recommendations!E1:F18,2,FALSE)</f>
        <v>🍓 (££)｜Whitley Neill Rhubarb &amp; Ginger Gin</v>
      </c>
      <c r="L86" s="7" t="str">
        <f>VLOOKUP($H$110,Recommendations!G1:H18,2,FALSE)</f>
        <v>🍓 (££)｜Slingsby Rhubarb Gin</v>
      </c>
      <c r="M86" s="7" t="str">
        <f>VLOOKUP($H$110,Recommendations!I1:J18,2,FALSE)</f>
        <v>🍓 (££)｜Boë Violet Gin</v>
      </c>
      <c r="N86" s="7" t="str">
        <f>VLOOKUP($H$110,Recommendations!K1:L18,2,FALSE)</f>
        <v>🍓 (££)｜Pinkster Gin</v>
      </c>
      <c r="O86" s="7" t="str">
        <f>VLOOKUP($H$110,Recommendations!M1:N18,2,FALSE)</f>
        <v>🍓 (££)｜Whitley Neill Raspberry Gin</v>
      </c>
      <c r="P86" s="7" t="str">
        <f>VLOOKUP($H$110,Recommendations!O1:P18,2,FALSE)</f>
        <v>🍓 (££)｜Whitley Neill Blood Orange Gin</v>
      </c>
      <c r="Q86" s="7" t="e">
        <f>VLOOKUP($H$110,Recommendations!Q1:R18,2,FALSE)</f>
        <v>#N/A</v>
      </c>
      <c r="R86" s="7" t="str">
        <f>VLOOKUP($H$110,Recommendations!S1:T18,2,FALSE)</f>
        <v>🍓 (££)｜Whitley Neill Quince Gin</v>
      </c>
      <c r="S86" s="7" t="str">
        <f>VLOOKUP($H$110,Recommendations!U1:V18,2,FALSE)</f>
        <v>🍓 (££)｜Boë  Passion Gin</v>
      </c>
      <c r="T86" s="7" t="str">
        <f>VLOOKUP($H$110,Recommendations!W1:X18,2,FALSE)</f>
        <v>🍓 (££)｜Whitley Neill Parma Violet Gin</v>
      </c>
      <c r="U86" s="7" t="str">
        <f>VLOOKUP($H$110,Recommendations!Y1:Z18,2,FALSE)</f>
        <v>🍓 (££)｜Boë Peach &amp; Hibiscus Gin Liqueur</v>
      </c>
      <c r="V86" s="7" t="str">
        <f>VLOOKUP($H$110,Recommendations!AA1:AB18,2,FALSE)</f>
        <v>🍓 (££)｜GinTing Passionfruit, Mango &amp; Elderflower Gin</v>
      </c>
      <c r="W86" s="7" t="str">
        <f>VLOOKUP($H$110,Recommendations!AC1:AD18,2,FALSE)</f>
        <v>🍓 (££)｜Slingsby Gooseberry Gin</v>
      </c>
      <c r="X86" s="7" t="str">
        <f>VLOOKUP($H$110,Recommendations!AE1:AF18,2,FALSE)</f>
        <v>🍓 (££)｜Aber Falls Orange Marmalade Gin</v>
      </c>
      <c r="Y86" s="7" t="str">
        <f>VLOOKUP($H$110,Recommendations!AG1:AH18,2,FALSE)</f>
        <v>🍓 (££)｜Kopparberg Strawberry &amp; Lime Gin</v>
      </c>
      <c r="Z86" s="7" t="str">
        <f>VLOOKUP($H$110,Recommendations!AI1:AJ18,2,FALSE)</f>
        <v>🍓 (££)｜Eden Mill Mango &amp; Pineapple Love Gin Liqueur</v>
      </c>
    </row>
    <row r="87" spans="2:26" ht="15.75" thickBot="1" x14ac:dyDescent="0.3">
      <c r="E87" s="40" t="s">
        <v>3</v>
      </c>
      <c r="F87" s="40" t="s">
        <v>4</v>
      </c>
      <c r="G87" s="40" t="s">
        <v>64</v>
      </c>
      <c r="H87" s="7" t="s">
        <v>131</v>
      </c>
      <c r="K87" s="7">
        <f>COUNTIF('Input Processing'!$J$25:$J$54,K86)</f>
        <v>0</v>
      </c>
      <c r="L87" s="7">
        <f>COUNTIF('Input Processing'!$J$25:$J$54,L86)</f>
        <v>0</v>
      </c>
      <c r="M87" s="7">
        <f>COUNTIF('Input Processing'!$J$25:$J$54,M86)</f>
        <v>0</v>
      </c>
      <c r="N87" s="7">
        <f>COUNTIF('Input Processing'!$J$25:$J$54,N86)</f>
        <v>0</v>
      </c>
      <c r="O87" s="7">
        <f>COUNTIF('Input Processing'!$J$25:$J$54,O86)</f>
        <v>0</v>
      </c>
      <c r="P87" s="7">
        <f>COUNTIF('Input Processing'!$J$25:$J$54,P86)</f>
        <v>0</v>
      </c>
      <c r="Q87" s="7">
        <f>COUNTIF('Input Processing'!$J$25:$J$54,Q86)</f>
        <v>0</v>
      </c>
      <c r="R87" s="7">
        <f>COUNTIF('Input Processing'!$J$25:$J$54,R86)</f>
        <v>0</v>
      </c>
      <c r="S87" s="7">
        <f>COUNTIF('Input Processing'!$J$25:$J$54,S86)</f>
        <v>0</v>
      </c>
      <c r="T87" s="7">
        <f>COUNTIF('Input Processing'!$J$25:$J$54,T86)</f>
        <v>0</v>
      </c>
      <c r="U87" s="7">
        <f>COUNTIF('Input Processing'!$J$25:$J$54,U86)</f>
        <v>0</v>
      </c>
      <c r="V87" s="7">
        <f>COUNTIF('Input Processing'!$J$25:$J$54,V86)</f>
        <v>0</v>
      </c>
      <c r="W87" s="7">
        <f>COUNTIF('Input Processing'!$J$25:$J$54,W86)</f>
        <v>0</v>
      </c>
      <c r="X87" s="7">
        <f>COUNTIF('Input Processing'!$J$25:$J$54,X86)</f>
        <v>0</v>
      </c>
      <c r="Y87" s="7">
        <f>COUNTIF('Input Processing'!$J$25:$J$54,Y86)</f>
        <v>0</v>
      </c>
      <c r="Z87" s="7">
        <f>COUNTIF('Input Processing'!$J$25:$J$54,Z86)</f>
        <v>0</v>
      </c>
    </row>
    <row r="88" spans="2:26" ht="15.75" thickBot="1" x14ac:dyDescent="0.3">
      <c r="B88" s="7" t="s">
        <v>35</v>
      </c>
      <c r="E88" s="7">
        <f>VLOOKUP(B88,'Input Processing'!$G$3:$J$20,4,FALSE)</f>
        <v>0</v>
      </c>
      <c r="F88" s="7">
        <f>J21</f>
        <v>0</v>
      </c>
      <c r="G88" s="7">
        <f>F88-E88</f>
        <v>0</v>
      </c>
      <c r="H88" s="7" t="str">
        <f>IF(G88&gt;0,B88,"")</f>
        <v/>
      </c>
      <c r="I88" s="7" t="str">
        <f>IF(G88&lt;0,B88,"")</f>
        <v/>
      </c>
      <c r="K88" s="11" t="str">
        <f>IF(K87=0,K86,IF(L87=0,L86,IF(M87=0,M86,IF(N87=0,N86,IF(O87=0,O86,IF(P87=0,P86,IF(Q87=0,Q86,IF(R87=0,R86,IF(S87=0,S86,IF(T87=0,T86,IF(U87=0,U86,IF(V87=0,V86,IF(W87=0,W86,IF(X87=0,X86,IF(Y87=0,Y86,IF(Z87=0,Z86,"None"))))))))))))))))</f>
        <v>🍓 (££)｜Whitley Neill Rhubarb &amp; Ginger Gin</v>
      </c>
      <c r="L88" s="11" t="str">
        <f>IF(L87=0,L86,IF(M87=0,M86,IF(N87=0,N86,IF(O87=0,O86,IF(P87=0,P86,IF(Q87=0,Q86,IF(R87=0,R86,IF(S87=0,S86,IF(T87=0,T86,IF(U87=0,U86,IF(V87=0,V86,IF(W87=0,W86,IF(X87=0,X86,IF(Y87=0,Y86,IF(Z87=0,Z86,"None")))))))))))))))</f>
        <v>🍓 (££)｜Slingsby Rhubarb Gin</v>
      </c>
      <c r="M88" s="11" t="str">
        <f>IF(M87=0,M86,IF(N87=0,N86,IF(O87=0,O86,IF(P87=0,P86,IF(Q87=0,Q86,IF(R87=0,R86,IF(S87=0,S86,IF(T87=0,T86,IF(U87=0,U86,IF(V87=0,V86,IF(W87=0,W86,IF(X87=0,X86,IF(Y87=0,Y86,IF(Z87=0,Z86,"None"))))))))))))))</f>
        <v>🍓 (££)｜Boë Violet Gin</v>
      </c>
      <c r="N88" s="11" t="str">
        <f>IF(N87=0,N86,IF(O87=0,O86,IF(P87=0,P86,IF(Q87=0,Q86,IF(R87=0,R86,IF(S87=0,S86,IF(T87=0,T86,IF(U87=0,U86,IF(V87=0,V86,IF(W87=0,W86,IF(X87=0,X86,IF(Y87=0,Y86,IF(Z87=0,Z86,"None")))))))))))))</f>
        <v>🍓 (££)｜Pinkster Gin</v>
      </c>
      <c r="O88" s="11" t="str">
        <f>IF(O87=0,O86,IF(P87=0,P86,IF(Q87=0,Q86,IF(R87=0,R86,IF(S87=0,S86,IF(T87=0,T86,IF(U87=0,U86,IF(V87=0,V86,IF(W87=0,W86,IF(X87=0,X86,IF(Y87=0,Y86,IF(Z87=0,Z86,"None"))))))))))))</f>
        <v>🍓 (££)｜Whitley Neill Raspberry Gin</v>
      </c>
      <c r="P88" s="11" t="str">
        <f>IF(P87=0,P86,IF(Q87=0,Q86,IF(R87=0,R86,IF(S87=0,S86,IF(T87=0,T86,IF(U87=0,U86,IF(V87=0,V86,IF(W87=0,W86,IF(X87=0,X86,IF(Y87=0,Y86,IF(Z87=0,Z86,"None")))))))))))</f>
        <v>🍓 (££)｜Whitley Neill Blood Orange Gin</v>
      </c>
      <c r="Q88" s="11" t="e">
        <f>IF(Q87=0,Q86,IF(R87=0,R86,IF(S87=0,S86,IF(T87=0,T86,IF(U87=0,U86,IF(V87=0,V86,IF(W87=0,W86,IF(X87=0,X86,IF(Y87=0,Y86,IF(Z87=0,Z86,"None"))))))))))</f>
        <v>#N/A</v>
      </c>
      <c r="R88" s="11" t="str">
        <f>IF(R87=0,R86,IF(S87=0,S86,IF(T87=0,T86,IF(U87=0,U86,IF(V87=0,V86,IF(W87=0,W86,IF(X87=0,X86,IF(Y87=0,Y86,IF(Z87=0,Z86,"None")))))))))</f>
        <v>🍓 (££)｜Whitley Neill Quince Gin</v>
      </c>
      <c r="S88" s="11" t="str">
        <f>IF(S87=0,S86,IF(T87=0,T86,IF(U87=0,U86,IF(V87=0,V86,IF(W87=0,W86,IF(X87=0,X86,IF(Y87=0,Y86,IF(Z87=0,Z86,"None"))))))))</f>
        <v>🍓 (££)｜Boë  Passion Gin</v>
      </c>
      <c r="T88" s="11" t="str">
        <f>IF(T87=0,T86,IF(U87=0,U86,IF(V87=0,V86,IF(W87=0,W86,IF(X87=0,X86,IF(Y87=0,Y86,IF(Z87=0,Z86,"None")))))))</f>
        <v>🍓 (££)｜Whitley Neill Parma Violet Gin</v>
      </c>
      <c r="U88" s="11" t="str">
        <f>IF(U87=0,U86,IF(V87=0,V86,IF(W87=0,W86,IF(X87=0,X86,IF(Y87=0,Y86,IF(Z87=0,Z86,"None"))))))</f>
        <v>🍓 (££)｜Boë Peach &amp; Hibiscus Gin Liqueur</v>
      </c>
      <c r="V88" s="11" t="str">
        <f>IF(V87=0,V86,IF(W87=0,W86,IF(X87=0,X86,IF(Y87=0,Y86,IF(Z87=0,Z86,"None")))))</f>
        <v>🍓 (££)｜GinTing Passionfruit, Mango &amp; Elderflower Gin</v>
      </c>
      <c r="W88" s="11" t="str">
        <f>IF(W87=0,W86,IF(X87=0,X86,IF(Y87=0,Y86,IF(Z87=0,Z86,"None"))))</f>
        <v>🍓 (££)｜Slingsby Gooseberry Gin</v>
      </c>
      <c r="X88" s="11" t="str">
        <f>IF(X87=0,X86,IF(Y87=0,Y86,IF(Z87=0,Z86,"None")))</f>
        <v>🍓 (££)｜Aber Falls Orange Marmalade Gin</v>
      </c>
      <c r="Y88" s="11" t="str">
        <f>IF(Y87=0,Y86,IF(Z87=0,Z86,"None"))</f>
        <v>🍓 (££)｜Kopparberg Strawberry &amp; Lime Gin</v>
      </c>
      <c r="Z88" s="11" t="str">
        <f>IF(Z87=0,Z86,"None")</f>
        <v>🍓 (££)｜Eden Mill Mango &amp; Pineapple Love Gin Liqueur</v>
      </c>
    </row>
    <row r="89" spans="2:26" x14ac:dyDescent="0.25">
      <c r="B89" s="7" t="s">
        <v>36</v>
      </c>
      <c r="E89" s="7">
        <f>VLOOKUP(B89,'Input Processing'!$G$3:$J$20,4,FALSE)</f>
        <v>0</v>
      </c>
      <c r="F89" s="7">
        <f>J17</f>
        <v>1</v>
      </c>
      <c r="G89" s="7">
        <f t="shared" ref="G89:G105" si="28">F89-E89</f>
        <v>1</v>
      </c>
      <c r="H89" s="7" t="str">
        <f t="shared" ref="H89:H105" si="29">IF(G89&gt;0,B89,"")</f>
        <v>JuniperSuper Premium</v>
      </c>
      <c r="I89" s="7" t="str">
        <f t="shared" ref="I89:I105" si="30">IF(G89&lt;0,B89,"")</f>
        <v/>
      </c>
      <c r="K89" s="7" t="str">
        <f>IF(J88=K88,"",K88)</f>
        <v>🍓 (££)｜Whitley Neill Rhubarb &amp; Ginger Gin</v>
      </c>
      <c r="L89" s="7" t="str">
        <f>IF(K88=L88,"",L88)</f>
        <v>🍓 (££)｜Slingsby Rhubarb Gin</v>
      </c>
      <c r="M89" s="7" t="str">
        <f t="shared" ref="M89" si="31">IF(L88=M88,"",M88)</f>
        <v>🍓 (££)｜Boë Violet Gin</v>
      </c>
      <c r="N89" s="7" t="str">
        <f t="shared" ref="N89" si="32">IF(M88=N88,"",N88)</f>
        <v>🍓 (££)｜Pinkster Gin</v>
      </c>
      <c r="O89" s="7" t="str">
        <f t="shared" ref="O89" si="33">IF(N88=O88,"",O88)</f>
        <v>🍓 (££)｜Whitley Neill Raspberry Gin</v>
      </c>
      <c r="P89" s="7" t="str">
        <f t="shared" ref="P89" si="34">IF(O88=P88,"",P88)</f>
        <v>🍓 (££)｜Whitley Neill Blood Orange Gin</v>
      </c>
      <c r="Q89" s="7" t="e">
        <f t="shared" ref="Q89" si="35">IF(P88=Q88,"",Q88)</f>
        <v>#N/A</v>
      </c>
      <c r="R89" s="7" t="e">
        <f t="shared" ref="R89" si="36">IF(Q88=R88,"",R88)</f>
        <v>#N/A</v>
      </c>
      <c r="S89" s="7" t="str">
        <f t="shared" ref="S89" si="37">IF(R88=S88,"",S88)</f>
        <v>🍓 (££)｜Boë  Passion Gin</v>
      </c>
      <c r="T89" s="7" t="str">
        <f t="shared" ref="T89" si="38">IF(S88=T88,"",T88)</f>
        <v>🍓 (££)｜Whitley Neill Parma Violet Gin</v>
      </c>
      <c r="U89" s="7" t="str">
        <f t="shared" ref="U89" si="39">IF(T88=U88,"",U88)</f>
        <v>🍓 (££)｜Boë Peach &amp; Hibiscus Gin Liqueur</v>
      </c>
      <c r="V89" s="7" t="str">
        <f t="shared" ref="V89" si="40">IF(U88=V88,"",V88)</f>
        <v>🍓 (££)｜GinTing Passionfruit, Mango &amp; Elderflower Gin</v>
      </c>
      <c r="W89" s="7" t="str">
        <f t="shared" ref="W89" si="41">IF(V88=W88,"",W88)</f>
        <v>🍓 (££)｜Slingsby Gooseberry Gin</v>
      </c>
      <c r="X89" s="7" t="str">
        <f t="shared" ref="X89" si="42">IF(W88=X88,"",X88)</f>
        <v>🍓 (££)｜Aber Falls Orange Marmalade Gin</v>
      </c>
      <c r="Y89" s="7" t="str">
        <f t="shared" ref="Y89" si="43">IF(X88=Y88,"",Y88)</f>
        <v>🍓 (££)｜Kopparberg Strawberry &amp; Lime Gin</v>
      </c>
      <c r="Z89" s="7" t="str">
        <f t="shared" ref="Z89" si="44">IF(Y88=Z88,"",Z88)</f>
        <v>🍓 (££)｜Eden Mill Mango &amp; Pineapple Love Gin Liqueur</v>
      </c>
    </row>
    <row r="90" spans="2:26" x14ac:dyDescent="0.25">
      <c r="B90" s="7" t="s">
        <v>37</v>
      </c>
      <c r="E90" s="7">
        <f>VLOOKUP(B90,'Input Processing'!$G$3:$J$20,4,FALSE)</f>
        <v>0</v>
      </c>
      <c r="F90" s="7">
        <f>J16</f>
        <v>1</v>
      </c>
      <c r="G90" s="7">
        <f t="shared" si="28"/>
        <v>1</v>
      </c>
      <c r="H90" s="7" t="str">
        <f t="shared" si="29"/>
        <v>FruitPremium</v>
      </c>
      <c r="I90" s="7" t="str">
        <f t="shared" si="30"/>
        <v/>
      </c>
      <c r="K90" s="7" t="str">
        <f>IF(K87=0,K86,IF(L87=0,L86,IF(M87=0,M86,IF(N87=0,N86,IF(O87=0,O86,IF(P87=0,P86,IF(Q87=0,Q86,IF(R87=0,R86,IF(S87=0,S86,IF(T87=0,T86,IF(U87=0,U86,IF(V87=0,V86,IF(W87=0,W86,IF(X87=0,X86,IF(Y87=0,Y86,IF(Z87=0,Z86,"None"))))))))))))))))</f>
        <v>🍓 (££)｜Whitley Neill Rhubarb &amp; Ginger Gin</v>
      </c>
      <c r="L90" s="7" t="str">
        <f>IF(L89="",M89,IF(L87=0,L86,IF(M87=0,M86,IF(N87=0,N86,IF(O87=0,O86,IF(P87=0,P86,IF(Q87=0,Q86,IF(R87=0,R86,IF(S87=0,S86,IF(T87=0,T86,IF(U87=0,U86,IF(V87=0,V86,IF(W87=0,W86,IF(X87=0,X86,IF(Y87=0,Y86,IF(Z87=0,Z86,"None"))))))))))))))))</f>
        <v>🍓 (££)｜Slingsby Rhubarb Gin</v>
      </c>
    </row>
    <row r="91" spans="2:26" x14ac:dyDescent="0.25">
      <c r="B91" s="7" t="s">
        <v>38</v>
      </c>
      <c r="E91" s="7">
        <f>VLOOKUP(B91,'Input Processing'!$G$3:$J$20,4,FALSE)</f>
        <v>0</v>
      </c>
      <c r="F91" s="7">
        <f>J5</f>
        <v>1</v>
      </c>
      <c r="G91" s="7">
        <f t="shared" si="28"/>
        <v>1</v>
      </c>
      <c r="H91" s="7" t="str">
        <f t="shared" si="29"/>
        <v>JuniperStandard</v>
      </c>
      <c r="I91" s="7" t="str">
        <f t="shared" si="30"/>
        <v/>
      </c>
      <c r="K91" s="7" t="str">
        <f>VLOOKUP($H$106,Recommendations!E1:F18,2,FALSE)</f>
        <v>🍋 (£££)｜Plymouth Gin</v>
      </c>
      <c r="L91" s="7" t="str">
        <f>VLOOKUP($H$106,Recommendations!G1:H18,2,FALSE)</f>
        <v xml:space="preserve">🍋 (£££)｜Edinburgh Gin </v>
      </c>
      <c r="M91" s="7" t="str">
        <f>VLOOKUP($H$106,Recommendations!I1:J18,2,FALSE)</f>
        <v>🍋 (£££)｜Cotswolds  Gin</v>
      </c>
      <c r="N91" s="7" t="str">
        <f>VLOOKUP($H$106,Recommendations!K1:L18,2,FALSE)</f>
        <v>🍋 (£££)｜Chase GB Gin</v>
      </c>
      <c r="O91" s="7" t="str">
        <f>VLOOKUP($H$106,Recommendations!M1:N18,2,FALSE)</f>
        <v>🍋 (£££)｜Liverpool Gin</v>
      </c>
      <c r="P91" s="7" t="str">
        <f>VLOOKUP($H$106,Recommendations!O1:P18,2,FALSE)</f>
        <v>🍋 (£££)｜No.3 Gin</v>
      </c>
      <c r="Q91" s="7" t="e">
        <f>VLOOKUP($H$106,Recommendations!Q1:R18,2,FALSE)</f>
        <v>#N/A</v>
      </c>
      <c r="R91" s="7" t="str">
        <f>VLOOKUP($H$106,Recommendations!S1:T18,2,FALSE)</f>
        <v xml:space="preserve">🍋 (£££)｜6 Oclock Gin </v>
      </c>
      <c r="S91" s="7" t="str">
        <f>VLOOKUP($H$106,Recommendations!U1:V18,2,FALSE)</f>
        <v>🍋 (£££)｜City of London Gin</v>
      </c>
      <c r="T91" s="7" t="str">
        <f>VLOOKUP($H$106,Recommendations!W1:X18,2,FALSE)</f>
        <v>🍋 (£££)｜Thomas Dakin Gin</v>
      </c>
      <c r="U91" s="7" t="e">
        <f>VLOOKUP($H$106,Recommendations!Y1:Z18,2,FALSE)</f>
        <v>#N/A</v>
      </c>
      <c r="V91" s="7" t="e">
        <f>VLOOKUP($H$106,Recommendations!AA1:AB18,2,FALSE)</f>
        <v>#N/A</v>
      </c>
      <c r="W91" s="7" t="e">
        <f>VLOOKUP($H$106,Recommendations!AC1:AD18,2,FALSE)</f>
        <v>#N/A</v>
      </c>
      <c r="X91" s="7" t="e">
        <f>VLOOKUP($H$106,Recommendations!AE1:AF18,2,FALSE)</f>
        <v>#N/A</v>
      </c>
      <c r="Y91" s="7" t="e">
        <f>VLOOKUP($H$106,Recommendations!AG1:AH18,2,FALSE)</f>
        <v>#N/A</v>
      </c>
      <c r="Z91" s="7" t="e">
        <f>VLOOKUP($H$106,Recommendations!AI1:AJ18,2,FALSE)</f>
        <v>#N/A</v>
      </c>
    </row>
    <row r="92" spans="2:26" ht="15.75" thickBot="1" x14ac:dyDescent="0.3">
      <c r="B92" s="7" t="s">
        <v>39</v>
      </c>
      <c r="E92" s="7">
        <f>VLOOKUP(B92,'Input Processing'!$G$3:$J$20,4,FALSE)</f>
        <v>0</v>
      </c>
      <c r="F92" s="7">
        <f>J15</f>
        <v>0</v>
      </c>
      <c r="G92" s="7">
        <f t="shared" si="28"/>
        <v>0</v>
      </c>
      <c r="H92" s="7" t="str">
        <f t="shared" si="29"/>
        <v/>
      </c>
      <c r="I92" s="7" t="str">
        <f t="shared" si="30"/>
        <v/>
      </c>
      <c r="K92" s="7">
        <f>COUNTIF('Input Processing'!$N$25:$N$54,K91)</f>
        <v>0</v>
      </c>
      <c r="L92" s="7">
        <f>COUNTIF('Input Processing'!$N$25:$N$54,L91)</f>
        <v>0</v>
      </c>
      <c r="M92" s="7">
        <f>COUNTIF('Input Processing'!$N$25:$N$54,M91)</f>
        <v>0</v>
      </c>
      <c r="N92" s="7">
        <f>COUNTIF('Input Processing'!$N$25:$N$54,N91)</f>
        <v>0</v>
      </c>
      <c r="O92" s="7">
        <f>COUNTIF('Input Processing'!$N$25:$N$54,O91)</f>
        <v>0</v>
      </c>
      <c r="P92" s="7">
        <f>COUNTIF('Input Processing'!$N$25:$N$54,P91)</f>
        <v>0</v>
      </c>
      <c r="Q92" s="7">
        <f>COUNTIF('Input Processing'!$N$25:$N$54,Q91)</f>
        <v>0</v>
      </c>
      <c r="R92" s="7">
        <f>COUNTIF('Input Processing'!$N$25:$N$54,R91)</f>
        <v>0</v>
      </c>
      <c r="S92" s="7">
        <f>COUNTIF('Input Processing'!$N$25:$N$54,S91)</f>
        <v>0</v>
      </c>
      <c r="T92" s="7">
        <f>COUNTIF('Input Processing'!$N$25:$N$54,T91)</f>
        <v>0</v>
      </c>
      <c r="U92" s="7">
        <f>COUNTIF('Input Processing'!$N$25:$N$54,U91)</f>
        <v>0</v>
      </c>
      <c r="V92" s="7">
        <f>COUNTIF('Input Processing'!$N$25:$N$54,V91)</f>
        <v>0</v>
      </c>
      <c r="W92" s="7">
        <f>COUNTIF('Input Processing'!$N$25:$N$54,W91)</f>
        <v>0</v>
      </c>
      <c r="X92" s="7">
        <f>COUNTIF('Input Processing'!$N$25:$N$54,X91)</f>
        <v>0</v>
      </c>
      <c r="Y92" s="7">
        <f>COUNTIF('Input Processing'!$N$25:$N$54,Y91)</f>
        <v>0</v>
      </c>
      <c r="Z92" s="7">
        <f>COUNTIF('Input Processing'!$N$25:$N$54,Z91)</f>
        <v>0</v>
      </c>
    </row>
    <row r="93" spans="2:26" ht="15.75" thickBot="1" x14ac:dyDescent="0.3">
      <c r="B93" s="7" t="s">
        <v>40</v>
      </c>
      <c r="E93" s="7">
        <f>VLOOKUP(B93,'Input Processing'!$G$3:$J$20,4,FALSE)</f>
        <v>0</v>
      </c>
      <c r="F93" s="7">
        <f>J11</f>
        <v>1</v>
      </c>
      <c r="G93" s="7">
        <f t="shared" si="28"/>
        <v>1</v>
      </c>
      <c r="H93" s="7" t="str">
        <f t="shared" si="29"/>
        <v>JuniperPremium</v>
      </c>
      <c r="I93" s="7" t="str">
        <f t="shared" si="30"/>
        <v/>
      </c>
      <c r="K93" s="11" t="str">
        <f>IF(K92=0,K91,IF(L92=0,L91,IF(M92=0,M91,IF(N92=0,N91,IF(O92=0,O91,IF(P92=0,P91,IF(Q92=0,Q91,IF(R92=0,R91,IF(S92=0,S91,IF(T92=0,T91,IF(U92=0,U91,IF(V92=0,V91,IF(W92=0,W91,IF(X92=0,X91,IF(Y92=0,Y91,IF(Z92=0,Z91,"None"))))))))))))))))</f>
        <v>🍋 (£££)｜Plymouth Gin</v>
      </c>
      <c r="L93" s="11" t="str">
        <f>IF(L92=0,L91,IF(M92=0,M91,IF(N92=0,N91,IF(O92=0,O91,IF(P92=0,P91,IF(Q92=0,Q91,IF(R92=0,R91,IF(S92=0,S91,IF(T92=0,T91,IF(U92=0,U91,IF(V92=0,V91,IF(W92=0,W91,IF(X92=0,X91,IF(Y92=0,Y91,IF(Z92=0,Z91,"None")))))))))))))))</f>
        <v xml:space="preserve">🍋 (£££)｜Edinburgh Gin </v>
      </c>
      <c r="M93" s="11" t="str">
        <f>IF(M92=0,M91,IF(N92=0,N91,IF(O92=0,O91,IF(P92=0,P91,IF(Q92=0,Q91,IF(R92=0,R91,IF(S92=0,S91,IF(T92=0,T91,IF(U92=0,U91,IF(V92=0,V91,IF(W92=0,W91,IF(X92=0,X91,IF(Y92=0,Y91,IF(Z92=0,Z91,"None"))))))))))))))</f>
        <v>🍋 (£££)｜Cotswolds  Gin</v>
      </c>
      <c r="N93" s="11" t="str">
        <f>IF(N92=0,N91,IF(O92=0,O91,IF(P92=0,P91,IF(Q92=0,Q91,IF(R92=0,R91,IF(S92=0,S91,IF(T92=0,T91,IF(U92=0,U91,IF(V92=0,V91,IF(W92=0,W91,IF(X92=0,X91,IF(Y92=0,Y91,IF(Z92=0,Z91,"None")))))))))))))</f>
        <v>🍋 (£££)｜Chase GB Gin</v>
      </c>
      <c r="O93" s="11" t="str">
        <f>IF(O92=0,O91,IF(P92=0,P91,IF(Q92=0,Q91,IF(R92=0,R91,IF(S92=0,S91,IF(T92=0,T91,IF(U92=0,U91,IF(V92=0,V91,IF(W92=0,W91,IF(X92=0,X91,IF(Y92=0,Y91,IF(Z92=0,Z91,"None"))))))))))))</f>
        <v>🍋 (£££)｜Liverpool Gin</v>
      </c>
      <c r="P93" s="11" t="str">
        <f>IF(P92=0,P91,IF(Q92=0,Q91,IF(R92=0,R91,IF(S92=0,S91,IF(T92=0,T91,IF(U92=0,U91,IF(V92=0,V91,IF(W92=0,W91,IF(X92=0,X91,IF(Y92=0,Y91,IF(Z92=0,Z91,"None")))))))))))</f>
        <v>🍋 (£££)｜No.3 Gin</v>
      </c>
      <c r="Q93" s="11" t="e">
        <f>IF(Q92=0,Q91,IF(R92=0,R91,IF(S92=0,S91,IF(T92=0,T91,IF(U92=0,U91,IF(V92=0,V91,IF(W92=0,W91,IF(X92=0,X91,IF(Y92=0,Y91,IF(Z92=0,Z91,"None"))))))))))</f>
        <v>#N/A</v>
      </c>
      <c r="R93" s="11" t="str">
        <f>IF(R92=0,R91,IF(S92=0,S91,IF(T92=0,T91,IF(U92=0,U91,IF(V92=0,V91,IF(W92=0,W91,IF(X92=0,X91,IF(Y92=0,Y91,IF(Z92=0,Z91,"None")))))))))</f>
        <v xml:space="preserve">🍋 (£££)｜6 Oclock Gin </v>
      </c>
      <c r="S93" s="11" t="str">
        <f>IF(S92=0,S91,IF(T92=0,T91,IF(U92=0,U91,IF(V92=0,V91,IF(W92=0,W91,IF(X92=0,X91,IF(Y92=0,Y91,IF(Z92=0,Z91,"None"))))))))</f>
        <v>🍋 (£££)｜City of London Gin</v>
      </c>
      <c r="T93" s="11" t="str">
        <f>IF(T92=0,T91,IF(U92=0,U91,IF(V92=0,V91,IF(W92=0,W91,IF(X92=0,X91,IF(Y92=0,Y91,IF(Z92=0,Z91,"None")))))))</f>
        <v>🍋 (£££)｜Thomas Dakin Gin</v>
      </c>
      <c r="U93" s="11" t="e">
        <f>IF(U92=0,U91,IF(V92=0,V91,IF(W92=0,W91,IF(X92=0,X91,IF(Y92=0,Y91,IF(Z92=0,Z91,"None"))))))</f>
        <v>#N/A</v>
      </c>
      <c r="V93" s="11" t="e">
        <f>IF(V92=0,V91,IF(W92=0,W91,IF(X92=0,X91,IF(Y92=0,Y91,IF(Z92=0,Z91,"None")))))</f>
        <v>#N/A</v>
      </c>
      <c r="W93" s="11" t="e">
        <f>IF(W92=0,W91,IF(X92=0,X91,IF(Y92=0,Y91,IF(Z92=0,Z91,"None"))))</f>
        <v>#N/A</v>
      </c>
      <c r="X93" s="11" t="e">
        <f>IF(X92=0,X91,IF(Y92=0,Y91,IF(Z92=0,Z91,"None")))</f>
        <v>#N/A</v>
      </c>
      <c r="Y93" s="11" t="e">
        <f>IF(Y92=0,Y91,IF(Z92=0,Z91,"None"))</f>
        <v>#N/A</v>
      </c>
      <c r="Z93" s="11" t="e">
        <f>IF(Z92=0,Z91,"None")</f>
        <v>#N/A</v>
      </c>
    </row>
    <row r="94" spans="2:26" x14ac:dyDescent="0.25">
      <c r="B94" s="7" t="s">
        <v>41</v>
      </c>
      <c r="E94" s="7">
        <f>VLOOKUP(B94,'Input Processing'!$G$3:$J$20,4,FALSE)</f>
        <v>0</v>
      </c>
      <c r="F94" s="7">
        <f>J12</f>
        <v>1</v>
      </c>
      <c r="G94" s="7">
        <f t="shared" si="28"/>
        <v>1</v>
      </c>
      <c r="H94" s="7" t="str">
        <f t="shared" si="29"/>
        <v>CitrusPremium</v>
      </c>
      <c r="I94" s="7" t="str">
        <f t="shared" si="30"/>
        <v/>
      </c>
      <c r="K94" s="7" t="str">
        <f>IF(J93=K93,"",K93)</f>
        <v>🍋 (£££)｜Plymouth Gin</v>
      </c>
      <c r="L94" s="7" t="str">
        <f>IF(K93=L93,"",L93)</f>
        <v xml:space="preserve">🍋 (£££)｜Edinburgh Gin </v>
      </c>
      <c r="M94" s="7" t="str">
        <f t="shared" ref="M94:Q94" si="45">IF(L93=M93,"",M93)</f>
        <v>🍋 (£££)｜Cotswolds  Gin</v>
      </c>
      <c r="N94" s="7" t="str">
        <f t="shared" si="45"/>
        <v>🍋 (£££)｜Chase GB Gin</v>
      </c>
      <c r="O94" s="7" t="str">
        <f t="shared" si="45"/>
        <v>🍋 (£££)｜Liverpool Gin</v>
      </c>
      <c r="P94" s="7" t="str">
        <f t="shared" si="45"/>
        <v>🍋 (£££)｜No.3 Gin</v>
      </c>
      <c r="Q94" s="7" t="e">
        <f t="shared" si="45"/>
        <v>#N/A</v>
      </c>
      <c r="R94" s="7" t="e">
        <f t="shared" ref="R94" si="46">IF(Q93=R93,"",R93)</f>
        <v>#N/A</v>
      </c>
      <c r="S94" s="7" t="str">
        <f t="shared" ref="S94" si="47">IF(R93=S93,"",S93)</f>
        <v>🍋 (£££)｜City of London Gin</v>
      </c>
      <c r="T94" s="7" t="str">
        <f t="shared" ref="T94:V94" si="48">IF(S93=T93,"",T93)</f>
        <v>🍋 (£££)｜Thomas Dakin Gin</v>
      </c>
      <c r="U94" s="7" t="e">
        <f t="shared" si="48"/>
        <v>#N/A</v>
      </c>
      <c r="V94" s="7" t="e">
        <f t="shared" si="48"/>
        <v>#N/A</v>
      </c>
      <c r="W94" s="7" t="e">
        <f t="shared" ref="W94" si="49">IF(V93=W93,"",W93)</f>
        <v>#N/A</v>
      </c>
      <c r="X94" s="7" t="e">
        <f t="shared" ref="X94" si="50">IF(W93=X93,"",X93)</f>
        <v>#N/A</v>
      </c>
      <c r="Y94" s="7" t="e">
        <f t="shared" ref="Y94:Z94" si="51">IF(X93=Y93,"",Y93)</f>
        <v>#N/A</v>
      </c>
      <c r="Z94" s="7" t="e">
        <f t="shared" si="51"/>
        <v>#N/A</v>
      </c>
    </row>
    <row r="95" spans="2:26" x14ac:dyDescent="0.25">
      <c r="B95" s="7" t="s">
        <v>42</v>
      </c>
      <c r="E95" s="7">
        <f>VLOOKUP(B95,'Input Processing'!$G$3:$J$20,4,FALSE)</f>
        <v>0</v>
      </c>
      <c r="F95" s="7">
        <f>J22</f>
        <v>0</v>
      </c>
      <c r="G95" s="7">
        <f t="shared" si="28"/>
        <v>0</v>
      </c>
      <c r="H95" s="7" t="str">
        <f t="shared" si="29"/>
        <v/>
      </c>
      <c r="I95" s="7" t="str">
        <f t="shared" si="30"/>
        <v/>
      </c>
      <c r="K95" s="7" t="str">
        <f>IF(K92=0,K91,IF(L92=0,L91,IF(M92=0,M91,IF(N92=0,N91,IF(O92=0,O91,IF(P92=0,P91,IF(Q92=0,Q91,IF(R92=0,R91,IF(S92=0,S91,IF(T92=0,T91,IF(U92=0,U91,IF(V92=0,V91,IF(W92=0,W91,IF(X92=0,X91,IF(Y92=0,Y91,IF(Z92=0,Z91,"None"))))))))))))))))</f>
        <v>🍋 (£££)｜Plymouth Gin</v>
      </c>
      <c r="L95" s="7" t="str">
        <f>IF(L94="",M94,IF(L92=0,L91,IF(M92=0,M91,IF(N92=0,N91,IF(O92=0,O91,IF(P92=0,P91,IF(Q92=0,Q91,IF(R92=0,R91,IF(S92=0,S91,IF(T92=0,T91,IF(U92=0,U91,IF(V92=0,V91,IF(W92=0,W91,IF(X92=0,X91,IF(Y92=0,Y91,IF(Z92=0,Z91,"None"))))))))))))))))</f>
        <v xml:space="preserve">🍋 (£££)｜Edinburgh Gin </v>
      </c>
    </row>
    <row r="96" spans="2:26" x14ac:dyDescent="0.25">
      <c r="B96" s="7" t="s">
        <v>43</v>
      </c>
      <c r="E96" s="7">
        <f>VLOOKUP(B96,'Input Processing'!$G$3:$J$20,4,FALSE)</f>
        <v>0</v>
      </c>
      <c r="F96" s="7">
        <f>J18</f>
        <v>0</v>
      </c>
      <c r="G96" s="7">
        <f t="shared" si="28"/>
        <v>0</v>
      </c>
      <c r="H96" s="7" t="str">
        <f t="shared" si="29"/>
        <v/>
      </c>
      <c r="I96" s="7" t="str">
        <f t="shared" si="30"/>
        <v/>
      </c>
    </row>
    <row r="97" spans="2:16" x14ac:dyDescent="0.25">
      <c r="B97" s="7" t="s">
        <v>44</v>
      </c>
      <c r="E97" s="7">
        <f>VLOOKUP(B97,'Input Processing'!$G$3:$J$20,4,FALSE)</f>
        <v>0</v>
      </c>
      <c r="F97" s="7">
        <f>J19</f>
        <v>0</v>
      </c>
      <c r="G97" s="7">
        <f t="shared" si="28"/>
        <v>0</v>
      </c>
      <c r="H97" s="7" t="str">
        <f t="shared" si="29"/>
        <v/>
      </c>
      <c r="I97" s="7" t="str">
        <f t="shared" si="30"/>
        <v/>
      </c>
    </row>
    <row r="98" spans="2:16" x14ac:dyDescent="0.25">
      <c r="B98" s="7" t="s">
        <v>45</v>
      </c>
      <c r="E98" s="7">
        <f>VLOOKUP(B98,'Input Processing'!$G$3:$J$20,4,FALSE)</f>
        <v>0</v>
      </c>
      <c r="F98" s="7">
        <f>J20</f>
        <v>0</v>
      </c>
      <c r="G98" s="7">
        <f t="shared" si="28"/>
        <v>0</v>
      </c>
      <c r="H98" s="7" t="str">
        <f t="shared" si="29"/>
        <v/>
      </c>
      <c r="I98" s="7" t="str">
        <f t="shared" si="30"/>
        <v/>
      </c>
    </row>
    <row r="99" spans="2:16" x14ac:dyDescent="0.25">
      <c r="B99" s="7" t="s">
        <v>46</v>
      </c>
      <c r="E99" s="7">
        <f>VLOOKUP(B99,'Input Processing'!$G$3:$J$20,4,FALSE)</f>
        <v>0</v>
      </c>
      <c r="F99" s="7">
        <f>J10</f>
        <v>1</v>
      </c>
      <c r="G99" s="7">
        <f t="shared" si="28"/>
        <v>1</v>
      </c>
      <c r="H99" s="7" t="str">
        <f t="shared" si="29"/>
        <v>FruitStandard</v>
      </c>
      <c r="I99" s="7" t="str">
        <f t="shared" si="30"/>
        <v/>
      </c>
      <c r="K99" s="6" t="s">
        <v>118</v>
      </c>
      <c r="O99" s="6" t="s">
        <v>119</v>
      </c>
      <c r="P99" s="6"/>
    </row>
    <row r="100" spans="2:16" x14ac:dyDescent="0.25">
      <c r="B100" s="7" t="s">
        <v>47</v>
      </c>
      <c r="E100" s="7">
        <f>VLOOKUP(B100,'Input Processing'!$G$3:$J$20,4,FALSE)</f>
        <v>0</v>
      </c>
      <c r="F100" s="7">
        <f>J14</f>
        <v>0</v>
      </c>
      <c r="G100" s="7">
        <f t="shared" si="28"/>
        <v>0</v>
      </c>
      <c r="H100" s="7" t="str">
        <f t="shared" si="29"/>
        <v/>
      </c>
      <c r="I100" s="7" t="str">
        <f t="shared" si="30"/>
        <v/>
      </c>
      <c r="K100" s="6">
        <v>1</v>
      </c>
      <c r="L100" s="7" t="str">
        <f>IFERROR(K95,"None")</f>
        <v>🍋 (£££)｜Plymouth Gin</v>
      </c>
      <c r="O100" s="6">
        <v>1</v>
      </c>
      <c r="P100" s="7" t="str">
        <f>IFERROR((VLOOKUP(I106,'Input Processing'!I25:J54,2,FALSE)),"None")</f>
        <v>None</v>
      </c>
    </row>
    <row r="101" spans="2:16" x14ac:dyDescent="0.25">
      <c r="B101" s="7" t="s">
        <v>48</v>
      </c>
      <c r="E101" s="7">
        <f>VLOOKUP(B101,'Input Processing'!$G$3:$J$20,4,FALSE)</f>
        <v>0</v>
      </c>
      <c r="F101" s="7">
        <f>J13</f>
        <v>0</v>
      </c>
      <c r="G101" s="7">
        <f t="shared" si="28"/>
        <v>0</v>
      </c>
      <c r="H101" s="7" t="str">
        <f t="shared" si="29"/>
        <v/>
      </c>
      <c r="I101" s="7" t="str">
        <f t="shared" si="30"/>
        <v/>
      </c>
      <c r="K101" s="6">
        <v>2</v>
      </c>
      <c r="L101" s="7" t="str">
        <f>IFERROR(K90,IFERROR(L95,"None"))</f>
        <v>🍓 (££)｜Whitley Neill Rhubarb &amp; Ginger Gin</v>
      </c>
      <c r="O101" s="6">
        <v>2</v>
      </c>
      <c r="P101" s="7" t="str">
        <f>IFERROR((VLOOKUP(I110,'Input Processing'!I25:J54,2,FALSE)),"None")</f>
        <v>None</v>
      </c>
    </row>
    <row r="102" spans="2:16" x14ac:dyDescent="0.25">
      <c r="B102" s="7" t="s">
        <v>49</v>
      </c>
      <c r="E102" s="7">
        <f>VLOOKUP(B102,'Input Processing'!$G$3:$J$20,4,FALSE)</f>
        <v>0</v>
      </c>
      <c r="F102" s="7">
        <f>J6</f>
        <v>0</v>
      </c>
      <c r="G102" s="7">
        <f t="shared" si="28"/>
        <v>0</v>
      </c>
      <c r="H102" s="7" t="str">
        <f t="shared" si="29"/>
        <v/>
      </c>
      <c r="I102" s="7" t="str">
        <f t="shared" si="30"/>
        <v/>
      </c>
      <c r="K102" s="6"/>
      <c r="O102" s="6"/>
    </row>
    <row r="103" spans="2:16" x14ac:dyDescent="0.25">
      <c r="B103" s="7" t="s">
        <v>50</v>
      </c>
      <c r="E103" s="7">
        <f>VLOOKUP(B103,'Input Processing'!$G$3:$J$20,4,FALSE)</f>
        <v>0</v>
      </c>
      <c r="F103" s="7">
        <f>J9</f>
        <v>0</v>
      </c>
      <c r="G103" s="7">
        <f t="shared" si="28"/>
        <v>0</v>
      </c>
      <c r="H103" s="7" t="str">
        <f t="shared" si="29"/>
        <v/>
      </c>
      <c r="I103" s="7" t="str">
        <f t="shared" si="30"/>
        <v/>
      </c>
    </row>
    <row r="104" spans="2:16" x14ac:dyDescent="0.25">
      <c r="B104" s="7" t="s">
        <v>51</v>
      </c>
      <c r="E104" s="7">
        <f>VLOOKUP(B104,'Input Processing'!$G$3:$J$20,4,FALSE)</f>
        <v>0</v>
      </c>
      <c r="F104" s="7">
        <f>J8</f>
        <v>0</v>
      </c>
      <c r="G104" s="7">
        <f t="shared" si="28"/>
        <v>0</v>
      </c>
      <c r="H104" s="7" t="str">
        <f t="shared" si="29"/>
        <v/>
      </c>
      <c r="I104" s="7" t="str">
        <f t="shared" si="30"/>
        <v/>
      </c>
    </row>
    <row r="105" spans="2:16" x14ac:dyDescent="0.25">
      <c r="B105" s="7" t="s">
        <v>52</v>
      </c>
      <c r="E105" s="7">
        <f>VLOOKUP(B105,'Input Processing'!$G$3:$J$20,4,FALSE)</f>
        <v>0</v>
      </c>
      <c r="F105" s="7">
        <f>J7</f>
        <v>0</v>
      </c>
      <c r="G105" s="7">
        <f t="shared" si="28"/>
        <v>0</v>
      </c>
      <c r="H105" s="7" t="str">
        <f t="shared" si="29"/>
        <v/>
      </c>
      <c r="I105" s="7" t="str">
        <f t="shared" si="30"/>
        <v/>
      </c>
    </row>
    <row r="106" spans="2:16" x14ac:dyDescent="0.25">
      <c r="H106" s="7" t="str">
        <f>INDEX(H88:H105,MATCH(TRUE,INDEX((H88:H105&lt;&gt;""),0),0))</f>
        <v>JuniperSuper Premium</v>
      </c>
      <c r="I106" s="7" t="e">
        <f>INDEX(I88:I105,MATCH(TRUE,INDEX((I88:I105&lt;&gt;""),0),0))</f>
        <v>#N/A</v>
      </c>
    </row>
    <row r="108" spans="2:16" s="9" customFormat="1" x14ac:dyDescent="0.25"/>
    <row r="110" spans="2:16" x14ac:dyDescent="0.25">
      <c r="H110" s="7" t="str">
        <f t="shared" ref="H110:H126" si="52">IF(H88=$H$106,H111,IF(H88="",H111,H88))</f>
        <v>FruitPremium</v>
      </c>
      <c r="I110" s="7" t="e">
        <f>IF(I88=$I$106,I111,IF(I88="",I111,I88))</f>
        <v>#N/A</v>
      </c>
    </row>
    <row r="111" spans="2:16" x14ac:dyDescent="0.25">
      <c r="H111" s="7" t="str">
        <f t="shared" si="52"/>
        <v>FruitPremium</v>
      </c>
      <c r="I111" s="7" t="e">
        <f t="shared" ref="I111:I127" si="53">IF(I89=$I$106,I112,IF(I89="",I112,I89))</f>
        <v>#N/A</v>
      </c>
    </row>
    <row r="112" spans="2:16" x14ac:dyDescent="0.25">
      <c r="H112" s="7" t="str">
        <f t="shared" si="52"/>
        <v>FruitPremium</v>
      </c>
      <c r="I112" s="7" t="e">
        <f t="shared" si="53"/>
        <v>#N/A</v>
      </c>
    </row>
    <row r="113" spans="8:9" x14ac:dyDescent="0.25">
      <c r="H113" s="7" t="str">
        <f t="shared" si="52"/>
        <v>JuniperStandard</v>
      </c>
      <c r="I113" s="7" t="e">
        <f t="shared" si="53"/>
        <v>#N/A</v>
      </c>
    </row>
    <row r="114" spans="8:9" x14ac:dyDescent="0.25">
      <c r="H114" s="7" t="str">
        <f t="shared" si="52"/>
        <v>JuniperPremium</v>
      </c>
      <c r="I114" s="7" t="e">
        <f t="shared" si="53"/>
        <v>#N/A</v>
      </c>
    </row>
    <row r="115" spans="8:9" x14ac:dyDescent="0.25">
      <c r="H115" s="7" t="str">
        <f t="shared" si="52"/>
        <v>JuniperPremium</v>
      </c>
      <c r="I115" s="7" t="e">
        <f t="shared" si="53"/>
        <v>#N/A</v>
      </c>
    </row>
    <row r="116" spans="8:9" x14ac:dyDescent="0.25">
      <c r="H116" s="7" t="str">
        <f t="shared" si="52"/>
        <v>CitrusPremium</v>
      </c>
      <c r="I116" s="7" t="e">
        <f t="shared" si="53"/>
        <v>#N/A</v>
      </c>
    </row>
    <row r="117" spans="8:9" x14ac:dyDescent="0.25">
      <c r="H117" s="7" t="str">
        <f t="shared" si="52"/>
        <v>FruitStandard</v>
      </c>
      <c r="I117" s="7" t="e">
        <f t="shared" si="53"/>
        <v>#N/A</v>
      </c>
    </row>
    <row r="118" spans="8:9" x14ac:dyDescent="0.25">
      <c r="H118" s="7" t="str">
        <f t="shared" si="52"/>
        <v>FruitStandard</v>
      </c>
      <c r="I118" s="7" t="e">
        <f t="shared" si="53"/>
        <v>#N/A</v>
      </c>
    </row>
    <row r="119" spans="8:9" x14ac:dyDescent="0.25">
      <c r="H119" s="7" t="str">
        <f t="shared" si="52"/>
        <v>FruitStandard</v>
      </c>
      <c r="I119" s="7" t="e">
        <f t="shared" si="53"/>
        <v>#N/A</v>
      </c>
    </row>
    <row r="120" spans="8:9" x14ac:dyDescent="0.25">
      <c r="H120" s="7" t="str">
        <f t="shared" si="52"/>
        <v>FruitStandard</v>
      </c>
      <c r="I120" s="7" t="e">
        <f t="shared" si="53"/>
        <v>#N/A</v>
      </c>
    </row>
    <row r="121" spans="8:9" x14ac:dyDescent="0.25">
      <c r="H121" s="7" t="str">
        <f t="shared" si="52"/>
        <v>FruitStandard</v>
      </c>
      <c r="I121" s="7" t="e">
        <f t="shared" si="53"/>
        <v>#N/A</v>
      </c>
    </row>
    <row r="122" spans="8:9" x14ac:dyDescent="0.25">
      <c r="H122" s="7">
        <f t="shared" si="52"/>
        <v>0</v>
      </c>
      <c r="I122" s="7" t="e">
        <f t="shared" si="53"/>
        <v>#N/A</v>
      </c>
    </row>
    <row r="123" spans="8:9" x14ac:dyDescent="0.25">
      <c r="H123" s="7">
        <f t="shared" si="52"/>
        <v>0</v>
      </c>
      <c r="I123" s="7" t="e">
        <f t="shared" si="53"/>
        <v>#N/A</v>
      </c>
    </row>
    <row r="124" spans="8:9" x14ac:dyDescent="0.25">
      <c r="H124" s="7">
        <f t="shared" si="52"/>
        <v>0</v>
      </c>
      <c r="I124" s="7" t="e">
        <f t="shared" si="53"/>
        <v>#N/A</v>
      </c>
    </row>
    <row r="125" spans="8:9" x14ac:dyDescent="0.25">
      <c r="H125" s="7">
        <f t="shared" si="52"/>
        <v>0</v>
      </c>
      <c r="I125" s="7" t="e">
        <f t="shared" si="53"/>
        <v>#N/A</v>
      </c>
    </row>
    <row r="126" spans="8:9" x14ac:dyDescent="0.25">
      <c r="H126" s="7">
        <f t="shared" si="52"/>
        <v>0</v>
      </c>
      <c r="I126" s="7" t="e">
        <f t="shared" si="53"/>
        <v>#N/A</v>
      </c>
    </row>
    <row r="127" spans="8:9" x14ac:dyDescent="0.25">
      <c r="H127" s="7">
        <f>IF(H105=$H$106,H128,IF(H105="",H128,H105))</f>
        <v>0</v>
      </c>
      <c r="I127" s="7" t="e">
        <f t="shared" si="53"/>
        <v>#N/A</v>
      </c>
    </row>
  </sheetData>
  <mergeCells count="1">
    <mergeCell ref="F5:F10"/>
  </mergeCells>
  <pageMargins left="0.7" right="0.7" top="0.75" bottom="0.75" header="0.3" footer="0.3"/>
  <pageSetup paperSize="21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127"/>
  <sheetViews>
    <sheetView zoomScale="85" zoomScaleNormal="85" workbookViewId="0">
      <selection activeCell="O15" sqref="O15"/>
    </sheetView>
  </sheetViews>
  <sheetFormatPr defaultColWidth="8.85546875" defaultRowHeight="15" x14ac:dyDescent="0.25"/>
  <cols>
    <col min="1" max="1" width="4" style="7" customWidth="1"/>
    <col min="2" max="3" width="8.85546875" style="7"/>
    <col min="4" max="4" width="8.85546875" style="7" customWidth="1"/>
    <col min="5" max="7" width="9.85546875" style="7" customWidth="1"/>
    <col min="8" max="8" width="11.140625" style="7" customWidth="1"/>
    <col min="9" max="10" width="8.85546875" style="7"/>
    <col min="11" max="15" width="21.5703125" style="7" customWidth="1"/>
    <col min="16" max="22" width="8.85546875" style="7"/>
    <col min="23" max="23" width="9.28515625" style="7" bestFit="1" customWidth="1"/>
    <col min="24" max="16384" width="8.85546875" style="7"/>
  </cols>
  <sheetData>
    <row r="2" spans="2:23" x14ac:dyDescent="0.25">
      <c r="B2" s="15" t="s">
        <v>14</v>
      </c>
    </row>
    <row r="3" spans="2:23" x14ac:dyDescent="0.25">
      <c r="N3" s="7" t="s">
        <v>101</v>
      </c>
    </row>
    <row r="4" spans="2:23" ht="15.75" thickBot="1" x14ac:dyDescent="0.3">
      <c r="B4" s="10" t="s">
        <v>4</v>
      </c>
    </row>
    <row r="5" spans="2:23" ht="15.75" thickBot="1" x14ac:dyDescent="0.3">
      <c r="B5" s="6" t="s">
        <v>54</v>
      </c>
      <c r="F5" s="229" t="s">
        <v>60</v>
      </c>
      <c r="G5" s="7" t="s">
        <v>38</v>
      </c>
      <c r="J5" s="11">
        <f>'PWL Flexible Range Calculation'!J5</f>
        <v>1</v>
      </c>
      <c r="N5" s="7" t="s">
        <v>65</v>
      </c>
      <c r="P5" s="7" t="s">
        <v>472</v>
      </c>
    </row>
    <row r="6" spans="2:23" ht="14.45" customHeight="1" thickBot="1" x14ac:dyDescent="0.3">
      <c r="B6" s="7" t="s">
        <v>57</v>
      </c>
      <c r="D6" s="11">
        <f>'PWL Flexible Range Calculation'!D6</f>
        <v>10</v>
      </c>
      <c r="F6" s="229"/>
      <c r="G6" s="7" t="s">
        <v>49</v>
      </c>
      <c r="J6" s="11">
        <f>'PWL Flexible Range Calculation'!J6</f>
        <v>0</v>
      </c>
      <c r="N6" s="7" t="s">
        <v>66</v>
      </c>
      <c r="P6" s="7" t="s">
        <v>473</v>
      </c>
    </row>
    <row r="7" spans="2:23" ht="15.75" thickBot="1" x14ac:dyDescent="0.3">
      <c r="F7" s="229"/>
      <c r="G7" s="7" t="s">
        <v>52</v>
      </c>
      <c r="J7" s="11">
        <f>'PWL Flexible Range Calculation'!J7</f>
        <v>0</v>
      </c>
      <c r="N7" s="7" t="s">
        <v>67</v>
      </c>
      <c r="P7" s="7" t="s">
        <v>72</v>
      </c>
    </row>
    <row r="8" spans="2:23" ht="15.75" thickBot="1" x14ac:dyDescent="0.3">
      <c r="B8" s="6" t="s">
        <v>55</v>
      </c>
      <c r="F8" s="229"/>
      <c r="G8" s="7" t="s">
        <v>51</v>
      </c>
      <c r="J8" s="11">
        <f>'PWL Flexible Range Calculation'!J8</f>
        <v>0</v>
      </c>
      <c r="N8" s="7" t="s">
        <v>69</v>
      </c>
      <c r="P8" s="7" t="s">
        <v>70</v>
      </c>
    </row>
    <row r="9" spans="2:23" ht="15.75" thickBot="1" x14ac:dyDescent="0.3">
      <c r="B9" s="7" t="s">
        <v>15</v>
      </c>
      <c r="D9" s="11">
        <f>'PWL Flexible Range Calculation'!D9</f>
        <v>2</v>
      </c>
      <c r="F9" s="229"/>
      <c r="G9" s="7" t="s">
        <v>50</v>
      </c>
      <c r="J9" s="11">
        <f>'PWL Flexible Range Calculation'!J9</f>
        <v>0</v>
      </c>
      <c r="N9" s="7" t="s">
        <v>68</v>
      </c>
      <c r="P9" s="7" t="s">
        <v>71</v>
      </c>
    </row>
    <row r="10" spans="2:23" ht="15.75" thickBot="1" x14ac:dyDescent="0.3">
      <c r="B10" s="7" t="s">
        <v>17</v>
      </c>
      <c r="D10" s="11">
        <f>'PWL Flexible Range Calculation'!D10</f>
        <v>3</v>
      </c>
      <c r="F10" s="229"/>
      <c r="G10" s="7" t="s">
        <v>46</v>
      </c>
      <c r="J10" s="11">
        <f>'PWL Flexible Range Calculation'!J10</f>
        <v>1</v>
      </c>
    </row>
    <row r="11" spans="2:23" ht="15.75" thickBot="1" x14ac:dyDescent="0.3">
      <c r="B11" s="7" t="s">
        <v>19</v>
      </c>
      <c r="D11" s="11">
        <f>'PWL Flexible Range Calculation'!D11</f>
        <v>5</v>
      </c>
      <c r="G11" s="7" t="s">
        <v>40</v>
      </c>
      <c r="J11" s="11">
        <f>'PWL Flexible Range Calculation'!J11</f>
        <v>1</v>
      </c>
      <c r="N11" s="7" t="s">
        <v>80</v>
      </c>
      <c r="P11" s="7" t="s">
        <v>88</v>
      </c>
    </row>
    <row r="12" spans="2:23" ht="15.75" thickBot="1" x14ac:dyDescent="0.3">
      <c r="G12" s="7" t="s">
        <v>41</v>
      </c>
      <c r="J12" s="11">
        <f>'PWL Flexible Range Calculation'!J12</f>
        <v>1</v>
      </c>
      <c r="N12" s="7" t="s">
        <v>81</v>
      </c>
      <c r="P12" s="7" t="s">
        <v>89</v>
      </c>
    </row>
    <row r="13" spans="2:23" ht="15.75" thickBot="1" x14ac:dyDescent="0.3">
      <c r="B13" s="6" t="s">
        <v>56</v>
      </c>
      <c r="G13" s="7" t="s">
        <v>48</v>
      </c>
      <c r="J13" s="11">
        <f>'PWL Flexible Range Calculation'!J13</f>
        <v>0</v>
      </c>
      <c r="N13" s="7" t="s">
        <v>83</v>
      </c>
      <c r="P13" s="7" t="s">
        <v>87</v>
      </c>
    </row>
    <row r="14" spans="2:23" ht="15.75" thickBot="1" x14ac:dyDescent="0.3">
      <c r="B14" s="7" t="s">
        <v>22</v>
      </c>
      <c r="D14" s="11">
        <f>'PWL Flexible Range Calculation'!D14</f>
        <v>3</v>
      </c>
      <c r="G14" s="7" t="s">
        <v>47</v>
      </c>
      <c r="J14" s="11">
        <f>'PWL Flexible Range Calculation'!J14</f>
        <v>0</v>
      </c>
      <c r="N14" s="7" t="s">
        <v>82</v>
      </c>
      <c r="P14" s="7" t="s">
        <v>86</v>
      </c>
    </row>
    <row r="15" spans="2:23" ht="15.75" thickBot="1" x14ac:dyDescent="0.3">
      <c r="B15" s="7" t="s">
        <v>23</v>
      </c>
      <c r="D15" s="11">
        <f>'PWL Flexible Range Calculation'!D15</f>
        <v>2</v>
      </c>
      <c r="G15" s="7" t="s">
        <v>39</v>
      </c>
      <c r="J15" s="11">
        <f>'PWL Flexible Range Calculation'!J15</f>
        <v>0</v>
      </c>
      <c r="N15" s="7" t="s">
        <v>84</v>
      </c>
      <c r="P15" s="7" t="s">
        <v>85</v>
      </c>
    </row>
    <row r="16" spans="2:23" ht="15.75" thickBot="1" x14ac:dyDescent="0.3">
      <c r="B16" s="7" t="s">
        <v>24</v>
      </c>
      <c r="D16" s="11">
        <f>'PWL Flexible Range Calculation'!D16</f>
        <v>0</v>
      </c>
      <c r="G16" s="7" t="s">
        <v>37</v>
      </c>
      <c r="J16" s="11">
        <f>'PWL Flexible Range Calculation'!J16</f>
        <v>1</v>
      </c>
      <c r="W16" s="23"/>
    </row>
    <row r="17" spans="2:21" ht="15.75" thickBot="1" x14ac:dyDescent="0.3">
      <c r="B17" s="7" t="s">
        <v>25</v>
      </c>
      <c r="D17" s="11">
        <f>'PWL Flexible Range Calculation'!D17</f>
        <v>1</v>
      </c>
      <c r="G17" s="7" t="s">
        <v>36</v>
      </c>
      <c r="J17" s="11">
        <f>'PWL Flexible Range Calculation'!J17</f>
        <v>1</v>
      </c>
      <c r="N17" s="7" t="s">
        <v>93</v>
      </c>
      <c r="P17" s="7" t="s">
        <v>94</v>
      </c>
    </row>
    <row r="18" spans="2:21" ht="15.75" thickBot="1" x14ac:dyDescent="0.3">
      <c r="B18" s="7" t="s">
        <v>26</v>
      </c>
      <c r="D18" s="11">
        <f>'PWL Flexible Range Calculation'!D18</f>
        <v>1</v>
      </c>
      <c r="G18" s="7" t="s">
        <v>43</v>
      </c>
      <c r="J18" s="11">
        <f>'PWL Flexible Range Calculation'!J18</f>
        <v>1</v>
      </c>
      <c r="N18" s="7" t="s">
        <v>92</v>
      </c>
      <c r="P18" s="7" t="s">
        <v>96</v>
      </c>
    </row>
    <row r="19" spans="2:21" ht="15.75" thickBot="1" x14ac:dyDescent="0.3">
      <c r="B19" s="7" t="s">
        <v>27</v>
      </c>
      <c r="D19" s="11">
        <f>'PWL Flexible Range Calculation'!D19</f>
        <v>3</v>
      </c>
      <c r="G19" s="7" t="s">
        <v>44</v>
      </c>
      <c r="J19" s="11">
        <f>'PWL Flexible Range Calculation'!J19</f>
        <v>0</v>
      </c>
      <c r="N19" s="7" t="s">
        <v>97</v>
      </c>
      <c r="P19" s="7" t="s">
        <v>99</v>
      </c>
    </row>
    <row r="20" spans="2:21" ht="15.75" thickBot="1" x14ac:dyDescent="0.3">
      <c r="G20" s="7" t="s">
        <v>45</v>
      </c>
      <c r="J20" s="11">
        <f>'PWL Flexible Range Calculation'!J20</f>
        <v>1</v>
      </c>
      <c r="N20" s="7" t="s">
        <v>98</v>
      </c>
      <c r="P20" s="7" t="s">
        <v>100</v>
      </c>
    </row>
    <row r="21" spans="2:21" ht="15.75" thickBot="1" x14ac:dyDescent="0.3">
      <c r="F21" s="12"/>
      <c r="G21" s="12" t="s">
        <v>35</v>
      </c>
      <c r="H21" s="12"/>
      <c r="J21" s="11">
        <f>'PWL Flexible Range Calculation'!J21</f>
        <v>1</v>
      </c>
      <c r="N21" s="7" t="s">
        <v>91</v>
      </c>
      <c r="P21" s="7" t="s">
        <v>95</v>
      </c>
    </row>
    <row r="22" spans="2:21" ht="15.75" thickBot="1" x14ac:dyDescent="0.3">
      <c r="G22" s="7" t="s">
        <v>42</v>
      </c>
      <c r="J22" s="11">
        <f>'PWL Flexible Range Calculation'!J22</f>
        <v>1</v>
      </c>
    </row>
    <row r="23" spans="2:21" s="9" customFormat="1" x14ac:dyDescent="0.25"/>
    <row r="25" spans="2:21" x14ac:dyDescent="0.25">
      <c r="B25" s="10" t="s">
        <v>62</v>
      </c>
    </row>
    <row r="26" spans="2:21" ht="14.45" customHeight="1" x14ac:dyDescent="0.25">
      <c r="B26" s="6" t="s">
        <v>63</v>
      </c>
      <c r="F26" s="6" t="s">
        <v>74</v>
      </c>
      <c r="G26" s="18" t="s">
        <v>4</v>
      </c>
      <c r="H26" s="19" t="s">
        <v>79</v>
      </c>
      <c r="I26" s="19" t="s">
        <v>78</v>
      </c>
      <c r="J26" s="20"/>
      <c r="K26" s="20" t="s">
        <v>74</v>
      </c>
      <c r="L26" s="18" t="s">
        <v>3</v>
      </c>
      <c r="M26" s="19" t="s">
        <v>79</v>
      </c>
      <c r="N26" s="19" t="s">
        <v>78</v>
      </c>
      <c r="Q26" s="6" t="s">
        <v>75</v>
      </c>
    </row>
    <row r="27" spans="2:21" x14ac:dyDescent="0.25">
      <c r="B27" s="7" t="s">
        <v>64</v>
      </c>
      <c r="C27" s="17">
        <f>'Input Processing'!D4-D6</f>
        <v>-10</v>
      </c>
      <c r="F27" s="7" t="s">
        <v>77</v>
      </c>
      <c r="G27" s="19" t="s">
        <v>15</v>
      </c>
      <c r="H27" s="19">
        <f>SUM(D9:D10)/D6</f>
        <v>0.5</v>
      </c>
      <c r="I27" s="19">
        <f>H27/SUM(H27:H28)</f>
        <v>0.38461538461538458</v>
      </c>
      <c r="J27" s="19"/>
      <c r="K27" s="19" t="s">
        <v>77</v>
      </c>
      <c r="L27" s="19" t="s">
        <v>15</v>
      </c>
      <c r="M27" s="19" t="e">
        <f>SUM('Input Processing'!D7:D8)/'Input Processing'!D4</f>
        <v>#DIV/0!</v>
      </c>
      <c r="N27" s="19" t="e">
        <f>M27/SUM(M27:M28)</f>
        <v>#DIV/0!</v>
      </c>
      <c r="O27" s="7" t="e">
        <f>N27-I27</f>
        <v>#DIV/0!</v>
      </c>
      <c r="Q27" s="7" t="s">
        <v>90</v>
      </c>
      <c r="R27" s="22">
        <f>SUM(U27:U32)/COUNTIF(D14:D19,"&lt;&gt;0")</f>
        <v>0</v>
      </c>
      <c r="T27" s="19" t="s">
        <v>22</v>
      </c>
      <c r="U27" s="19">
        <f>MIN(1,IFERROR('Input Processing'!D12/D14,0))</f>
        <v>0</v>
      </c>
    </row>
    <row r="28" spans="2:21" x14ac:dyDescent="0.25">
      <c r="B28" s="7" t="s">
        <v>73</v>
      </c>
      <c r="C28" s="17" t="str">
        <f>IF(C27&gt;(D6/2.5),"SIZELARGE",IF(AND((C27&gt;=(2)),(C27&lt;=(D6/2.5))),"SIZESLARG",IF(C27&lt;=(-2),"SIZESMALL",IF(OR(C27=(1),C27=(-1)),"SIZESUIT",IF(C27=0,"SIZEPERF","")))))</f>
        <v>SIZESMALL</v>
      </c>
      <c r="G28" s="21" t="s">
        <v>17</v>
      </c>
      <c r="H28" s="19">
        <f>SUM(D10:D11)/D6</f>
        <v>0.8</v>
      </c>
      <c r="I28" s="19">
        <f>H28/SUM(H27:H28)</f>
        <v>0.61538461538461542</v>
      </c>
      <c r="J28" s="19"/>
      <c r="K28" s="19"/>
      <c r="L28" s="21" t="s">
        <v>17</v>
      </c>
      <c r="M28" s="19" t="e">
        <f>SUM('Input Processing'!D8:D9)/'Input Processing'!D4</f>
        <v>#DIV/0!</v>
      </c>
      <c r="N28" s="19" t="e">
        <f>M28/SUM(M27:M28)</f>
        <v>#DIV/0!</v>
      </c>
      <c r="Q28" s="7" t="s">
        <v>73</v>
      </c>
      <c r="R28" s="7" t="str">
        <f>IF(AND(R27&lt;0.3),"FLAV30",IF(AND(R27&gt;=0.3,R27&lt;0.5),"FLAV50",IF(AND(R27&gt;=0.5,R27&lt;0.75),"FLAV75",IF(AND(R27&gt;=0.75,R27&lt;1),"FLAV99",IF(R27=1,"FLAV100","F")))))</f>
        <v>FLAV30</v>
      </c>
      <c r="T28" s="19" t="s">
        <v>23</v>
      </c>
      <c r="U28" s="19">
        <f>MIN(1,IFERROR('Input Processing'!D13/D15,0))</f>
        <v>0</v>
      </c>
    </row>
    <row r="29" spans="2:21" x14ac:dyDescent="0.25">
      <c r="B29" s="7" t="s">
        <v>76</v>
      </c>
      <c r="C29" s="17" t="str">
        <f>IF(C27=0,"",IF(C27=-1,"Add 1 gin",IF(C27=1,"Remove 1 gin",IF(C27&gt;1,"Remove "&amp;ABS(C27)&amp;" gins",IF(C27&lt;-1,"Add "&amp;ABS(C27)&amp;" gins","F")))))</f>
        <v>Add 10 gins</v>
      </c>
      <c r="F29" s="7" t="s">
        <v>64</v>
      </c>
      <c r="G29" s="7" t="e">
        <f>N27-I27</f>
        <v>#DIV/0!</v>
      </c>
      <c r="T29" s="19" t="s">
        <v>24</v>
      </c>
      <c r="U29" s="19">
        <f>MIN(1,IFERROR('Input Processing'!D14/D16,0))</f>
        <v>0</v>
      </c>
    </row>
    <row r="30" spans="2:21" x14ac:dyDescent="0.25">
      <c r="F30" s="7" t="s">
        <v>73</v>
      </c>
      <c r="G30" s="7" t="e">
        <f>IF(G29&lt;-0.2,"PRICEPREMI",IF(AND(G29&gt;=-0.2,G29&lt;0),"PRICESPREM",IF(G29=0,"PRICEPERF",IF(AND(G29&lt;=0.2,G29&gt;0),"PRICESSTAN",IF(G29&gt;0.2,"PRICESTAND","F")))))</f>
        <v>#DIV/0!</v>
      </c>
      <c r="T30" s="19" t="s">
        <v>25</v>
      </c>
      <c r="U30" s="19">
        <f>MIN(1,IFERROR('Input Processing'!D15/D17,0))</f>
        <v>0</v>
      </c>
    </row>
    <row r="31" spans="2:21" x14ac:dyDescent="0.25">
      <c r="T31" s="19" t="s">
        <v>26</v>
      </c>
      <c r="U31" s="19">
        <f>MIN(1,IFERROR('Input Processing'!D16/D18,0))</f>
        <v>0</v>
      </c>
    </row>
    <row r="32" spans="2:21" x14ac:dyDescent="0.25">
      <c r="T32" s="19" t="s">
        <v>27</v>
      </c>
      <c r="U32" s="19">
        <f>MIN(1,IFERROR('Input Processing'!D17/D19,0))</f>
        <v>0</v>
      </c>
    </row>
    <row r="34" spans="2:14" s="9" customFormat="1" x14ac:dyDescent="0.25"/>
    <row r="36" spans="2:14" x14ac:dyDescent="0.25">
      <c r="B36" s="10" t="s">
        <v>105</v>
      </c>
    </row>
    <row r="38" spans="2:14" x14ac:dyDescent="0.25">
      <c r="B38" s="6" t="s">
        <v>74</v>
      </c>
      <c r="C38" s="18" t="s">
        <v>4</v>
      </c>
      <c r="D38" s="18" t="s">
        <v>3</v>
      </c>
    </row>
    <row r="39" spans="2:14" x14ac:dyDescent="0.25">
      <c r="B39" s="7" t="s">
        <v>106</v>
      </c>
      <c r="C39" s="7">
        <f>D9/$D$6</f>
        <v>0.2</v>
      </c>
      <c r="D39" s="7" t="e">
        <f>'Input Processing'!D7/'Input Processing'!$D$4</f>
        <v>#DIV/0!</v>
      </c>
      <c r="E39" s="25" t="s">
        <v>15</v>
      </c>
      <c r="F39" s="7" t="e">
        <f>IF((ABS(ROUNDDOWN((D39-C39)/(1/('Input Processing'!$D$4)),0)))=0,"",IF(D39&lt;&gt;C39,(IF(D39&gt;C39,"Remove","Add")&amp;" "&amp;ABS(ROUNDDOWN((D39-C39)/(1/('Input Processing'!$D$4)),0))),"")&amp;IF(D39&lt;&gt;C39," Standard",""))</f>
        <v>#DIV/0!</v>
      </c>
      <c r="I39" s="7">
        <f>C39*1.2</f>
        <v>0.24</v>
      </c>
      <c r="J39" s="7">
        <f>C39*0.8</f>
        <v>0.16000000000000003</v>
      </c>
      <c r="K39" s="7" t="e">
        <f>IF(AND(D39&gt;J39,D39&lt;I39),2,0.1)</f>
        <v>#DIV/0!</v>
      </c>
      <c r="L39" s="7">
        <f>C39*1.4</f>
        <v>0.27999999999999997</v>
      </c>
      <c r="M39" s="7">
        <f>C39*0.6</f>
        <v>0.12</v>
      </c>
      <c r="N39" s="7" t="e">
        <f>IF(AND(D39&gt;M39,D39&lt;L39),1,0.1)</f>
        <v>#DIV/0!</v>
      </c>
    </row>
    <row r="40" spans="2:14" x14ac:dyDescent="0.25">
      <c r="B40" s="7" t="s">
        <v>107</v>
      </c>
      <c r="C40" s="7">
        <f t="shared" ref="C40:C41" si="0">D10/$D$6</f>
        <v>0.3</v>
      </c>
      <c r="D40" s="7" t="e">
        <f>'Input Processing'!D8/'Input Processing'!$D$4</f>
        <v>#DIV/0!</v>
      </c>
      <c r="E40" s="25" t="s">
        <v>17</v>
      </c>
      <c r="F40" s="7" t="e">
        <f>IF((ABS(ROUNDDOWN((D40-C40)/(1/('Input Processing'!$D$4)),0)))=0,"",IF(D40&lt;&gt;C40,(IF(D40&gt;C40,"Remove","Add")&amp;" "&amp;ABS(ROUNDDOWN((D40-C40)/(1/('Input Processing'!$D$4)),0))),"")&amp;IF(D40&lt;&gt;C40," Premium",""))</f>
        <v>#DIV/0!</v>
      </c>
      <c r="I40" s="7">
        <f t="shared" ref="I40:I41" si="1">C40*1.2</f>
        <v>0.36</v>
      </c>
      <c r="J40" s="7">
        <f t="shared" ref="J40:J41" si="2">C40*0.8</f>
        <v>0.24</v>
      </c>
      <c r="K40" s="7" t="e">
        <f>IF(AND(D40&gt;J40,D40&lt;I40),2,0.1)</f>
        <v>#DIV/0!</v>
      </c>
      <c r="L40" s="7">
        <f t="shared" ref="L40:L41" si="3">C40*1.4</f>
        <v>0.42</v>
      </c>
      <c r="M40" s="7">
        <f t="shared" ref="M40:M41" si="4">C40*0.6</f>
        <v>0.18</v>
      </c>
      <c r="N40" s="7" t="e">
        <f t="shared" ref="N40:N41" si="5">IF(AND(D40&gt;M40,D40&lt;L40),1,0.1)</f>
        <v>#DIV/0!</v>
      </c>
    </row>
    <row r="41" spans="2:14" x14ac:dyDescent="0.25">
      <c r="B41" s="7" t="s">
        <v>108</v>
      </c>
      <c r="C41" s="7">
        <f t="shared" si="0"/>
        <v>0.5</v>
      </c>
      <c r="D41" s="7" t="e">
        <f>'Input Processing'!D9/'Input Processing'!$D$4</f>
        <v>#DIV/0!</v>
      </c>
      <c r="E41" s="25" t="s">
        <v>19</v>
      </c>
      <c r="F41" s="7" t="e">
        <f>IF((ABS(ROUNDDOWN((D41-C41)/(1/('Input Processing'!$D$4)),0)))=0,"",IF(D41&lt;&gt;C41,(IF(D41&gt;C41,"Remove","Add")&amp;" "&amp;ABS(ROUNDDOWN((D41-C41)/(1/('Input Processing'!$D$4)),0))),"")&amp;IF(D41&lt;&gt;C41," Super Premium",""))</f>
        <v>#DIV/0!</v>
      </c>
      <c r="I41" s="7">
        <f t="shared" si="1"/>
        <v>0.6</v>
      </c>
      <c r="J41" s="7">
        <f t="shared" si="2"/>
        <v>0.4</v>
      </c>
      <c r="K41" s="7" t="e">
        <f>IF(AND(D41&gt;J41,D41&lt;I41),2,0.1)</f>
        <v>#DIV/0!</v>
      </c>
      <c r="L41" s="7">
        <f t="shared" si="3"/>
        <v>0.7</v>
      </c>
      <c r="M41" s="7">
        <f t="shared" si="4"/>
        <v>0.3</v>
      </c>
      <c r="N41" s="7" t="e">
        <f t="shared" si="5"/>
        <v>#DIV/0!</v>
      </c>
    </row>
    <row r="42" spans="2:14" x14ac:dyDescent="0.25">
      <c r="K42" s="23" t="e">
        <f>SUM(K39:K41,N39:N41)/9</f>
        <v>#DIV/0!</v>
      </c>
    </row>
    <row r="43" spans="2:14" x14ac:dyDescent="0.25">
      <c r="B43" s="6" t="s">
        <v>75</v>
      </c>
      <c r="C43" s="18" t="s">
        <v>4</v>
      </c>
      <c r="D43" s="18" t="s">
        <v>3</v>
      </c>
      <c r="E43" s="18" t="s">
        <v>109</v>
      </c>
    </row>
    <row r="44" spans="2:14" x14ac:dyDescent="0.25">
      <c r="B44" s="7" t="s">
        <v>22</v>
      </c>
      <c r="C44" s="7">
        <f>D14</f>
        <v>3</v>
      </c>
      <c r="D44" s="7">
        <f>'Input Processing'!D12</f>
        <v>0</v>
      </c>
      <c r="E44" s="7">
        <f>C44-D44</f>
        <v>3</v>
      </c>
      <c r="F44" s="25" t="s">
        <v>22</v>
      </c>
      <c r="G44" s="7" t="str">
        <f t="shared" ref="G44:G47" si="6">IF(E44&gt;=1,"Add"&amp;" "&amp;ABS(E44)&amp;" "&amp;B44,IF(E44&lt;=-1,"Remove"&amp;" "&amp;ABS(E44)&amp;" "&amp;B44,""))</f>
        <v>Add 3 Juniper</v>
      </c>
    </row>
    <row r="45" spans="2:14" x14ac:dyDescent="0.25">
      <c r="B45" s="7" t="s">
        <v>23</v>
      </c>
      <c r="C45" s="7">
        <f t="shared" ref="C45:C49" si="7">D15</f>
        <v>2</v>
      </c>
      <c r="D45" s="7">
        <f>'Input Processing'!D13</f>
        <v>0</v>
      </c>
      <c r="E45" s="7">
        <f t="shared" ref="E45:E49" si="8">C45-D45</f>
        <v>2</v>
      </c>
      <c r="F45" s="25" t="s">
        <v>23</v>
      </c>
      <c r="G45" s="7" t="str">
        <f t="shared" si="6"/>
        <v>Add 2 Citrus</v>
      </c>
    </row>
    <row r="46" spans="2:14" x14ac:dyDescent="0.25">
      <c r="B46" s="7" t="s">
        <v>24</v>
      </c>
      <c r="C46" s="7">
        <f t="shared" si="7"/>
        <v>0</v>
      </c>
      <c r="D46" s="7">
        <f>'Input Processing'!D14</f>
        <v>0</v>
      </c>
      <c r="E46" s="7">
        <f t="shared" si="8"/>
        <v>0</v>
      </c>
      <c r="F46" s="25" t="s">
        <v>24</v>
      </c>
      <c r="G46" s="7" t="str">
        <f t="shared" si="6"/>
        <v/>
      </c>
    </row>
    <row r="47" spans="2:14" x14ac:dyDescent="0.25">
      <c r="B47" s="7" t="s">
        <v>25</v>
      </c>
      <c r="C47" s="7">
        <f t="shared" si="7"/>
        <v>1</v>
      </c>
      <c r="D47" s="7">
        <f>'Input Processing'!D15</f>
        <v>0</v>
      </c>
      <c r="E47" s="7">
        <f t="shared" si="8"/>
        <v>1</v>
      </c>
      <c r="F47" s="25" t="s">
        <v>25</v>
      </c>
      <c r="G47" s="7" t="str">
        <f t="shared" si="6"/>
        <v>Add 1 Herbaceous</v>
      </c>
    </row>
    <row r="48" spans="2:14" x14ac:dyDescent="0.25">
      <c r="B48" s="7" t="s">
        <v>26</v>
      </c>
      <c r="C48" s="7">
        <f t="shared" si="7"/>
        <v>1</v>
      </c>
      <c r="D48" s="7">
        <f>'Input Processing'!D16</f>
        <v>0</v>
      </c>
      <c r="E48" s="7">
        <f t="shared" si="8"/>
        <v>1</v>
      </c>
      <c r="F48" s="25" t="s">
        <v>26</v>
      </c>
      <c r="G48" s="7" t="str">
        <f>IF(E48&gt;=1,"Add"&amp;" "&amp;ABS(E48)&amp;" "&amp;B48,IF(E48&lt;=-1,"Remove"&amp;" "&amp;ABS(E48)&amp;" "&amp;B48,""))</f>
        <v>Add 1 Floral</v>
      </c>
    </row>
    <row r="49" spans="2:24" x14ac:dyDescent="0.25">
      <c r="B49" s="7" t="s">
        <v>27</v>
      </c>
      <c r="C49" s="7">
        <f t="shared" si="7"/>
        <v>3</v>
      </c>
      <c r="D49" s="7">
        <f>'Input Processing'!D17</f>
        <v>0</v>
      </c>
      <c r="E49" s="7">
        <f t="shared" si="8"/>
        <v>3</v>
      </c>
      <c r="F49" s="25" t="s">
        <v>27</v>
      </c>
      <c r="G49" s="7" t="str">
        <f>IF(E49&gt;=1,"Add"&amp;" "&amp;ABS(E49)&amp;" "&amp;B49,IF(E49&lt;=-1,"Remove"&amp;" "&amp;ABS(E49)&amp;" "&amp;B49,""))</f>
        <v>Add 3 Fruit</v>
      </c>
    </row>
    <row r="51" spans="2:24" s="9" customFormat="1" x14ac:dyDescent="0.25"/>
    <row r="53" spans="2:24" x14ac:dyDescent="0.25">
      <c r="B53" s="10" t="s">
        <v>112</v>
      </c>
    </row>
    <row r="54" spans="2:24" x14ac:dyDescent="0.25">
      <c r="B54" s="10"/>
    </row>
    <row r="55" spans="2:24" x14ac:dyDescent="0.25">
      <c r="B55" s="6" t="s">
        <v>74</v>
      </c>
      <c r="L55" s="6" t="s">
        <v>75</v>
      </c>
    </row>
    <row r="56" spans="2:24" x14ac:dyDescent="0.25">
      <c r="H56" s="16">
        <v>1</v>
      </c>
      <c r="J56" s="16">
        <v>2</v>
      </c>
      <c r="K56" s="26" t="s">
        <v>113</v>
      </c>
      <c r="L56" s="7" t="s">
        <v>22</v>
      </c>
      <c r="M56" s="7" t="str">
        <f>IF(E44&gt;0,"JU",0)</f>
        <v>JU</v>
      </c>
      <c r="N56" s="7">
        <f>IF(E44&lt;0,"JU",0)</f>
        <v>0</v>
      </c>
      <c r="Q56" s="16">
        <v>1</v>
      </c>
      <c r="S56" s="16">
        <v>2</v>
      </c>
      <c r="V56" s="16">
        <v>1</v>
      </c>
      <c r="X56" s="16">
        <v>2</v>
      </c>
    </row>
    <row r="57" spans="2:24" x14ac:dyDescent="0.25">
      <c r="B57" s="19" t="s">
        <v>106</v>
      </c>
      <c r="C57" s="30" t="e">
        <f>IF(D39-C39&lt;0,"S","0")</f>
        <v>#DIV/0!</v>
      </c>
      <c r="D57" s="30" t="e">
        <f>IF(D39-C39&gt;0,"S","0")</f>
        <v>#DIV/0!</v>
      </c>
      <c r="E57" s="31" t="s">
        <v>15</v>
      </c>
      <c r="F57" s="24"/>
      <c r="G57" s="27" t="s">
        <v>110</v>
      </c>
      <c r="H57" s="7" t="e">
        <f>VLOOKUP(C60,B57:E59,4,FALSE)</f>
        <v>#DIV/0!</v>
      </c>
      <c r="J57" s="7" t="e">
        <f>VLOOKUP(IF(C61=C60,C62,C61),B57:E59,4,FALSE)</f>
        <v>#DIV/0!</v>
      </c>
      <c r="K57" s="26" t="s">
        <v>114</v>
      </c>
      <c r="L57" s="7" t="s">
        <v>23</v>
      </c>
      <c r="M57" s="7" t="str">
        <f>IF(E45&gt;0,"CI",0)</f>
        <v>CI</v>
      </c>
      <c r="N57" s="7">
        <f>IF(E45&lt;0,"CI",0)</f>
        <v>0</v>
      </c>
      <c r="P57" s="27" t="s">
        <v>110</v>
      </c>
      <c r="Q57" s="7" t="str">
        <f>VLOOKUP(M62,K56:L61,2,FALSE)</f>
        <v>Juniper</v>
      </c>
      <c r="S57" s="7" t="str">
        <f>VLOOKUP(IF(M63=M62,M64,M62),K56:L61,2,FALSE)</f>
        <v>Juniper</v>
      </c>
      <c r="U57" s="6" t="s">
        <v>118</v>
      </c>
      <c r="V57" s="7" t="e">
        <f>Q57&amp;H57</f>
        <v>#DIV/0!</v>
      </c>
      <c r="X57" s="7" t="e">
        <f t="shared" ref="X57" si="9">S57&amp;J57</f>
        <v>#DIV/0!</v>
      </c>
    </row>
    <row r="58" spans="2:24" x14ac:dyDescent="0.25">
      <c r="B58" s="19" t="s">
        <v>107</v>
      </c>
      <c r="C58" s="30" t="e">
        <f>IF(D40-C40&lt;0,"P","0")</f>
        <v>#DIV/0!</v>
      </c>
      <c r="D58" s="30" t="e">
        <f>IF(D40-C40&gt;0,"P","0")</f>
        <v>#DIV/0!</v>
      </c>
      <c r="E58" s="31" t="s">
        <v>17</v>
      </c>
      <c r="F58" s="24"/>
      <c r="G58" s="27" t="s">
        <v>111</v>
      </c>
      <c r="H58" s="7" t="e">
        <f>VLOOKUP(D60,B57:E59,4,FALSE)</f>
        <v>#DIV/0!</v>
      </c>
      <c r="J58" s="7" t="e">
        <f>VLOOKUP(IF(D61=D60,D62,D61),B57:E59,4,FALSE)</f>
        <v>#DIV/0!</v>
      </c>
      <c r="K58" s="26" t="s">
        <v>108</v>
      </c>
      <c r="L58" s="7" t="s">
        <v>24</v>
      </c>
      <c r="M58" s="7">
        <f>IF(E46&gt;0,"SP",0)</f>
        <v>0</v>
      </c>
      <c r="N58" s="7">
        <f>IF(E46&lt;0,"SP",0)</f>
        <v>0</v>
      </c>
      <c r="P58" s="27" t="s">
        <v>111</v>
      </c>
      <c r="Q58" s="7" t="e">
        <f>VLOOKUP(N62,K56:L61,2,FALSE)</f>
        <v>#N/A</v>
      </c>
      <c r="S58" s="7" t="e">
        <f>VLOOKUP(IF(N62=N63,N64,N63),K56:L61,2,FALSE)</f>
        <v>#N/A</v>
      </c>
      <c r="U58" s="6" t="s">
        <v>119</v>
      </c>
      <c r="V58" s="7" t="e">
        <f>Q58&amp;H58</f>
        <v>#N/A</v>
      </c>
      <c r="X58" s="7" t="e">
        <f>S58&amp;J58</f>
        <v>#N/A</v>
      </c>
    </row>
    <row r="59" spans="2:24" x14ac:dyDescent="0.25">
      <c r="B59" s="19" t="s">
        <v>108</v>
      </c>
      <c r="C59" s="32" t="e">
        <f>IF(D41-C41&lt;0,"SP","0")</f>
        <v>#DIV/0!</v>
      </c>
      <c r="D59" s="32" t="e">
        <f>IF(D41-C41&gt;0,"SP","0")</f>
        <v>#DIV/0!</v>
      </c>
      <c r="E59" s="31" t="s">
        <v>19</v>
      </c>
      <c r="F59" s="24"/>
      <c r="K59" s="26" t="s">
        <v>115</v>
      </c>
      <c r="L59" s="7" t="s">
        <v>25</v>
      </c>
      <c r="M59" s="7" t="str">
        <f>IF(E47&gt;0,"HE",0)</f>
        <v>HE</v>
      </c>
      <c r="N59" s="7">
        <f>IF(E47&lt;0,"HE",0)</f>
        <v>0</v>
      </c>
    </row>
    <row r="60" spans="2:24" x14ac:dyDescent="0.25">
      <c r="B60" s="28">
        <v>1</v>
      </c>
      <c r="C60" s="33" t="e">
        <f>IF(C59="0",IF(C58="0",C57,C58),C59)</f>
        <v>#DIV/0!</v>
      </c>
      <c r="D60" s="34" t="e">
        <f>IF(D59="0",IF(D58="0",D57,D58),D59)</f>
        <v>#DIV/0!</v>
      </c>
      <c r="E60" s="31"/>
      <c r="F60" s="12"/>
      <c r="G60" s="12"/>
      <c r="K60" s="26" t="s">
        <v>116</v>
      </c>
      <c r="L60" s="7" t="s">
        <v>26</v>
      </c>
      <c r="M60" s="7" t="str">
        <f>IF(E48&gt;0,"FL",0)</f>
        <v>FL</v>
      </c>
      <c r="N60" s="7">
        <f>IF(E48&lt;0,"FL",0)</f>
        <v>0</v>
      </c>
    </row>
    <row r="61" spans="2:24" x14ac:dyDescent="0.25">
      <c r="B61" s="29">
        <v>2</v>
      </c>
      <c r="C61" s="31" t="e">
        <f>IF(C58="0",IF(C57="0",C59,C57),C58)</f>
        <v>#DIV/0!</v>
      </c>
      <c r="D61" s="35" t="s">
        <v>108</v>
      </c>
      <c r="E61" s="19"/>
      <c r="G61" s="7" t="e">
        <f>IF((LEN(C60)+LEN(C61)+LEN(C62)+LEN(D60)+LEN(D61)+LEN(D62)+(LEN(M62)+LEN(M63)+LEN(M64)+LEN(N62)+LEN(N63)+LEN(N64)))=12,"0","1")</f>
        <v>#DIV/0!</v>
      </c>
      <c r="K61" s="26" t="s">
        <v>117</v>
      </c>
      <c r="L61" s="7" t="s">
        <v>27</v>
      </c>
      <c r="M61" s="7" t="str">
        <f>IF(E49&gt;0,"FR",0)</f>
        <v>FR</v>
      </c>
      <c r="N61" s="7">
        <f>IF(E49&lt;0,"FR",0)</f>
        <v>0</v>
      </c>
    </row>
    <row r="62" spans="2:24" x14ac:dyDescent="0.25">
      <c r="B62" s="38">
        <v>3</v>
      </c>
      <c r="C62" s="36" t="e">
        <f>IF(C57="0",IF(C59="0",C58,C59),C57)</f>
        <v>#DIV/0!</v>
      </c>
      <c r="D62" s="37" t="e">
        <f>IF(D57="0",IF(D59="0",D58,D59),D57)</f>
        <v>#DIV/0!</v>
      </c>
      <c r="E62" s="19"/>
      <c r="L62" s="28">
        <v>1</v>
      </c>
      <c r="M62" s="33" t="str">
        <f>IF(M56&lt;&gt;0,M56,IF(M57&lt;&gt;0,M57,IF(M58&lt;&gt;0,M58,IF(M59&lt;&gt;0,M59,IF(M60&lt;&gt;0,M60,IF(M61&lt;&gt;0,M61,0))))))</f>
        <v>JU</v>
      </c>
      <c r="N62" s="34">
        <f>IF(N56&lt;&gt;0,N56,IF(N57&lt;&gt;0,N57,IF(N58&lt;&gt;0,N58,IF(N59&lt;&gt;0,N59,IF(N60&lt;&gt;0,N60,IF(N61&lt;&gt;0,N61,0))))))</f>
        <v>0</v>
      </c>
    </row>
    <row r="63" spans="2:24" x14ac:dyDescent="0.25">
      <c r="L63" s="29">
        <v>2</v>
      </c>
      <c r="M63" s="31" t="str">
        <f>IF(M61&lt;&gt;0,M61,IF(M60&lt;&gt;0,M60,IF(M59&lt;&gt;0,M59,IF(M58&lt;&gt;0,M58,IF(M57&lt;&gt;0,M57,IF(M56&lt;&gt;0,M56,0))))))</f>
        <v>FR</v>
      </c>
      <c r="N63" s="35">
        <f>IF(N61&lt;&gt;0,N61,IF(N60&lt;&gt;0,N60,IF(N59&lt;&gt;0,N59,IF(N58&lt;&gt;0,N58,IF(N57&lt;&gt;0,N57,IF(N56&lt;&gt;0,N56,0))))))</f>
        <v>0</v>
      </c>
    </row>
    <row r="64" spans="2:24" x14ac:dyDescent="0.25">
      <c r="B64" s="6"/>
      <c r="L64" s="38">
        <v>3</v>
      </c>
      <c r="M64" s="36" t="str">
        <f>IF(M61&lt;&gt;0,M61,IF(M56&lt;&gt;0,M56,IF(M60&lt;&gt;0,M60,IF(M57&lt;&gt;0,M57,IF(M59&lt;&gt;0,M59,IF(M58&lt;&gt;0,M58,0))))))</f>
        <v>FR</v>
      </c>
      <c r="N64" s="37">
        <f>IF(N61&lt;&gt;0,N61,IF(N56&lt;&gt;0,N56,IF(N60&lt;&gt;0,N60,IF(N57&lt;&gt;0,N57,IF(N59&lt;&gt;0,N59,IF(N58&lt;&gt;0,N58,0))))))</f>
        <v>0</v>
      </c>
    </row>
    <row r="65" spans="2:19" x14ac:dyDescent="0.25">
      <c r="B65" s="6"/>
    </row>
    <row r="66" spans="2:19" x14ac:dyDescent="0.25">
      <c r="B66" s="6"/>
    </row>
    <row r="67" spans="2:19" x14ac:dyDescent="0.25">
      <c r="C67" s="7">
        <v>1</v>
      </c>
      <c r="D67" s="7">
        <v>2</v>
      </c>
      <c r="E67" s="7">
        <v>3</v>
      </c>
      <c r="F67" s="7">
        <v>4</v>
      </c>
      <c r="G67" s="7">
        <v>5</v>
      </c>
      <c r="H67" s="7">
        <v>6</v>
      </c>
      <c r="I67" s="7">
        <v>7</v>
      </c>
      <c r="J67" s="7">
        <v>8</v>
      </c>
      <c r="K67" s="7">
        <v>9</v>
      </c>
      <c r="L67" s="7">
        <v>10</v>
      </c>
      <c r="M67" s="7">
        <v>11</v>
      </c>
      <c r="N67" s="7">
        <v>12</v>
      </c>
      <c r="O67" s="7">
        <v>13</v>
      </c>
      <c r="P67" s="7">
        <v>14</v>
      </c>
      <c r="Q67" s="7">
        <v>15</v>
      </c>
      <c r="R67" s="7">
        <v>16</v>
      </c>
    </row>
    <row r="68" spans="2:19" x14ac:dyDescent="0.25">
      <c r="B68" s="6"/>
      <c r="C68" s="7" t="e">
        <f>VLOOKUP($V$57,Recommendations!E1:F18,2,FALSE)</f>
        <v>#DIV/0!</v>
      </c>
      <c r="D68" s="7" t="e">
        <f>VLOOKUP($V$57,Recommendations!G1:H18,2,FALSE)</f>
        <v>#DIV/0!</v>
      </c>
      <c r="E68" s="7" t="e">
        <f>VLOOKUP($V$57,Recommendations!I1:J18,2,FALSE)</f>
        <v>#DIV/0!</v>
      </c>
      <c r="F68" s="7" t="e">
        <f>VLOOKUP($V$57,Recommendations!K1:L18,2,FALSE)</f>
        <v>#DIV/0!</v>
      </c>
      <c r="G68" s="7" t="e">
        <f>VLOOKUP($V$57,Recommendations!M1:N18,2,FALSE)</f>
        <v>#DIV/0!</v>
      </c>
      <c r="H68" s="7" t="e">
        <f>VLOOKUP($V$57,Recommendations!O1:P18,2,FALSE)</f>
        <v>#DIV/0!</v>
      </c>
      <c r="I68" s="7" t="e">
        <f>VLOOKUP($V$57,Recommendations!Q1:R18,2,FALSE)</f>
        <v>#DIV/0!</v>
      </c>
      <c r="J68" s="7" t="e">
        <f>VLOOKUP($V$57,Recommendations!S1:T18,2,FALSE)</f>
        <v>#DIV/0!</v>
      </c>
      <c r="K68" s="7" t="e">
        <f>VLOOKUP($V$57,Recommendations!U1:V18,2,FALSE)</f>
        <v>#DIV/0!</v>
      </c>
      <c r="L68" s="7" t="e">
        <f>VLOOKUP($V$57,Recommendations!W1:X18,2,FALSE)</f>
        <v>#DIV/0!</v>
      </c>
      <c r="M68" s="7" t="e">
        <f>VLOOKUP($V$57,Recommendations!Y1:Z18,2,FALSE)</f>
        <v>#DIV/0!</v>
      </c>
      <c r="N68" s="7" t="e">
        <f>VLOOKUP($V$57,Recommendations!AA1:AB18,2,FALSE)</f>
        <v>#DIV/0!</v>
      </c>
      <c r="O68" s="7" t="e">
        <f>VLOOKUP($V$57,Recommendations!AC1:AD18,2,FALSE)</f>
        <v>#DIV/0!</v>
      </c>
      <c r="P68" s="7" t="e">
        <f>VLOOKUP($V$57,Recommendations!AE1:AF18,2,FALSE)</f>
        <v>#DIV/0!</v>
      </c>
      <c r="Q68" s="7" t="e">
        <f>VLOOKUP($V$57,Recommendations!AG1:AH18,2,FALSE)</f>
        <v>#DIV/0!</v>
      </c>
      <c r="R68" s="7" t="e">
        <f>VLOOKUP($V$57,Recommendations!AI1:AJ18,2,FALSE)</f>
        <v>#DIV/0!</v>
      </c>
    </row>
    <row r="69" spans="2:19" ht="15.75" thickBot="1" x14ac:dyDescent="0.3">
      <c r="C69" s="7">
        <f>COUNTIF('Input Processing'!$J$25:$J$54,C68)</f>
        <v>0</v>
      </c>
      <c r="D69" s="7">
        <f>COUNTIF('Input Processing'!$J$25:$J$54,D68)</f>
        <v>0</v>
      </c>
      <c r="E69" s="7">
        <f>COUNTIF('Input Processing'!$J$25:$J$54,E68)</f>
        <v>0</v>
      </c>
      <c r="F69" s="7">
        <f>COUNTIF('Input Processing'!$J$25:$J$54,F68)</f>
        <v>0</v>
      </c>
      <c r="G69" s="7">
        <f>COUNTIF('Input Processing'!$J$25:$J$54,G68)</f>
        <v>0</v>
      </c>
      <c r="H69" s="7">
        <f>COUNTIF('Input Processing'!$J$25:$J$54,H68)</f>
        <v>0</v>
      </c>
      <c r="I69" s="7">
        <f>COUNTIF('Input Processing'!$J$25:$J$54,I68)</f>
        <v>0</v>
      </c>
      <c r="J69" s="7">
        <f>COUNTIF('Input Processing'!$J$25:$J$54,J68)</f>
        <v>0</v>
      </c>
      <c r="K69" s="7">
        <f>COUNTIF('Input Processing'!$J$25:$J$54,K68)</f>
        <v>0</v>
      </c>
      <c r="L69" s="7">
        <f>COUNTIF('Input Processing'!$J$25:$J$54,L68)</f>
        <v>0</v>
      </c>
      <c r="M69" s="7">
        <f>COUNTIF('Input Processing'!$J$25:$J$54,M68)</f>
        <v>0</v>
      </c>
      <c r="N69" s="7">
        <f>COUNTIF('Input Processing'!$J$25:$J$54,N68)</f>
        <v>0</v>
      </c>
      <c r="O69" s="7">
        <f>COUNTIF('Input Processing'!$J$25:$J$54,O68)</f>
        <v>0</v>
      </c>
      <c r="P69" s="7">
        <f>COUNTIF('Input Processing'!$J$25:$J$54,P68)</f>
        <v>0</v>
      </c>
      <c r="Q69" s="7">
        <f>COUNTIF('Input Processing'!$J$25:$J$54,Q68)</f>
        <v>0</v>
      </c>
      <c r="R69" s="7">
        <f>COUNTIF('Input Processing'!$J$25:$J$54,R68)</f>
        <v>0</v>
      </c>
    </row>
    <row r="70" spans="2:19" ht="15.75" thickBot="1" x14ac:dyDescent="0.3">
      <c r="C70" s="11" t="e">
        <f>IF(C69=0,C68,D70)</f>
        <v>#DIV/0!</v>
      </c>
      <c r="D70" s="7" t="e">
        <f t="shared" ref="D70:R70" si="10">IF(D69=0,D68,E70)</f>
        <v>#DIV/0!</v>
      </c>
      <c r="E70" s="7" t="e">
        <f t="shared" si="10"/>
        <v>#DIV/0!</v>
      </c>
      <c r="F70" s="7" t="e">
        <f t="shared" si="10"/>
        <v>#DIV/0!</v>
      </c>
      <c r="G70" s="7" t="e">
        <f t="shared" si="10"/>
        <v>#DIV/0!</v>
      </c>
      <c r="H70" s="7" t="e">
        <f t="shared" si="10"/>
        <v>#DIV/0!</v>
      </c>
      <c r="I70" s="7" t="e">
        <f t="shared" si="10"/>
        <v>#DIV/0!</v>
      </c>
      <c r="J70" s="7" t="e">
        <f t="shared" si="10"/>
        <v>#DIV/0!</v>
      </c>
      <c r="K70" s="7" t="e">
        <f t="shared" si="10"/>
        <v>#DIV/0!</v>
      </c>
      <c r="L70" s="7" t="e">
        <f t="shared" si="10"/>
        <v>#DIV/0!</v>
      </c>
      <c r="M70" s="7" t="e">
        <f t="shared" si="10"/>
        <v>#DIV/0!</v>
      </c>
      <c r="N70" s="7" t="e">
        <f t="shared" si="10"/>
        <v>#DIV/0!</v>
      </c>
      <c r="O70" s="7" t="e">
        <f t="shared" si="10"/>
        <v>#DIV/0!</v>
      </c>
      <c r="P70" s="7" t="e">
        <f t="shared" si="10"/>
        <v>#DIV/0!</v>
      </c>
      <c r="Q70" s="7" t="e">
        <f t="shared" si="10"/>
        <v>#DIV/0!</v>
      </c>
      <c r="R70" s="7" t="e">
        <f t="shared" si="10"/>
        <v>#DIV/0!</v>
      </c>
    </row>
    <row r="71" spans="2:19" x14ac:dyDescent="0.25">
      <c r="C71" s="7" t="e">
        <f>VLOOKUP($X$57,Recommendations!E1:F18,2,FALSE)</f>
        <v>#DIV/0!</v>
      </c>
      <c r="D71" s="7" t="e">
        <f>VLOOKUP($X$57,Recommendations!G1:H18,2,FALSE)</f>
        <v>#DIV/0!</v>
      </c>
      <c r="E71" s="7" t="e">
        <f>VLOOKUP($X$57,Recommendations!I1:J18,2,FALSE)</f>
        <v>#DIV/0!</v>
      </c>
      <c r="F71" s="7" t="e">
        <f>VLOOKUP($X$57,Recommendations!K1:L18,2,FALSE)</f>
        <v>#DIV/0!</v>
      </c>
      <c r="G71" s="7" t="e">
        <f>VLOOKUP($X$57,Recommendations!M1:N18,2,FALSE)</f>
        <v>#DIV/0!</v>
      </c>
      <c r="H71" s="7" t="e">
        <f>VLOOKUP($X$57,Recommendations!O1:P18,2,FALSE)</f>
        <v>#DIV/0!</v>
      </c>
      <c r="I71" s="7" t="e">
        <f>VLOOKUP($X$57,Recommendations!Q1:R18,2,FALSE)</f>
        <v>#DIV/0!</v>
      </c>
      <c r="J71" s="7" t="e">
        <f>VLOOKUP($X$57,Recommendations!S1:T18,2,FALSE)</f>
        <v>#DIV/0!</v>
      </c>
      <c r="K71" s="7" t="e">
        <f>VLOOKUP($X$57,Recommendations!U1:V18,2,FALSE)</f>
        <v>#DIV/0!</v>
      </c>
      <c r="L71" s="7" t="e">
        <f>VLOOKUP($X$57,Recommendations!W1:X18,2,FALSE)</f>
        <v>#DIV/0!</v>
      </c>
      <c r="M71" s="7" t="e">
        <f>VLOOKUP($X$57,Recommendations!Y1:Z18,2,FALSE)</f>
        <v>#DIV/0!</v>
      </c>
      <c r="N71" s="7" t="e">
        <f>VLOOKUP($X$57,Recommendations!AA1:AB18,2,FALSE)</f>
        <v>#DIV/0!</v>
      </c>
      <c r="O71" s="7" t="e">
        <f>VLOOKUP($X$57,Recommendations!AC1:AD18,2,FALSE)</f>
        <v>#DIV/0!</v>
      </c>
      <c r="P71" s="7" t="e">
        <f>VLOOKUP($X$57,Recommendations!AE1:AF18,2,FALSE)</f>
        <v>#DIV/0!</v>
      </c>
      <c r="Q71" s="7" t="e">
        <f>VLOOKUP($X$57,Recommendations!AG1:AH18,2,FALSE)</f>
        <v>#DIV/0!</v>
      </c>
      <c r="R71" s="7" t="e">
        <f>VLOOKUP($X$57,Recommendations!AI1:AJ18,2,FALSE)</f>
        <v>#DIV/0!</v>
      </c>
    </row>
    <row r="72" spans="2:19" ht="15.75" thickBot="1" x14ac:dyDescent="0.3">
      <c r="C72" s="7">
        <f>COUNTIF('Input Processing'!$J$25:$J$54,C71)</f>
        <v>0</v>
      </c>
      <c r="D72" s="7">
        <f>COUNTIF('Input Processing'!$J$25:$J$54,D71)</f>
        <v>0</v>
      </c>
      <c r="E72" s="7">
        <f>COUNTIF('Input Processing'!$J$25:$J$54,E71)</f>
        <v>0</v>
      </c>
      <c r="F72" s="7">
        <f>COUNTIF('Input Processing'!$J$25:$J$54,F71)</f>
        <v>0</v>
      </c>
      <c r="G72" s="7">
        <f>COUNTIF('Input Processing'!$J$25:$J$54,G71)</f>
        <v>0</v>
      </c>
      <c r="H72" s="7">
        <f>COUNTIF('Input Processing'!$J$25:$J$54,H71)</f>
        <v>0</v>
      </c>
      <c r="I72" s="7">
        <f>COUNTIF('Input Processing'!$J$25:$J$54,I71)</f>
        <v>0</v>
      </c>
      <c r="J72" s="7">
        <f>COUNTIF('Input Processing'!$J$25:$J$54,J71)</f>
        <v>0</v>
      </c>
      <c r="K72" s="7">
        <f>COUNTIF('Input Processing'!$J$25:$J$54,K71)</f>
        <v>0</v>
      </c>
      <c r="L72" s="7">
        <f>COUNTIF('Input Processing'!$J$25:$J$54,L71)</f>
        <v>0</v>
      </c>
      <c r="M72" s="7">
        <f>COUNTIF('Input Processing'!$J$25:$J$54,M71)</f>
        <v>0</v>
      </c>
      <c r="N72" s="7">
        <f>COUNTIF('Input Processing'!$J$25:$J$54,N71)</f>
        <v>0</v>
      </c>
      <c r="O72" s="7">
        <f>COUNTIF('Input Processing'!$J$25:$J$54,O71)</f>
        <v>0</v>
      </c>
      <c r="P72" s="7">
        <f>COUNTIF('Input Processing'!$J$25:$J$54,P71)</f>
        <v>0</v>
      </c>
      <c r="Q72" s="7">
        <f>COUNTIF('Input Processing'!$J$25:$J$54,Q71)</f>
        <v>0</v>
      </c>
      <c r="R72" s="7">
        <f>COUNTIF('Input Processing'!$J$25:$J$54,R71)</f>
        <v>0</v>
      </c>
    </row>
    <row r="73" spans="2:19" ht="15.75" thickBot="1" x14ac:dyDescent="0.3">
      <c r="C73" s="11" t="e">
        <f>IF(C72=0,C71,D73)</f>
        <v>#DIV/0!</v>
      </c>
      <c r="D73" s="7" t="e">
        <f t="shared" ref="D73:R73" si="11">IF(D72=0,D71,E73)</f>
        <v>#DIV/0!</v>
      </c>
      <c r="E73" s="7" t="e">
        <f t="shared" si="11"/>
        <v>#DIV/0!</v>
      </c>
      <c r="F73" s="7" t="e">
        <f t="shared" si="11"/>
        <v>#DIV/0!</v>
      </c>
      <c r="G73" s="7" t="e">
        <f t="shared" si="11"/>
        <v>#DIV/0!</v>
      </c>
      <c r="H73" s="7" t="e">
        <f t="shared" si="11"/>
        <v>#DIV/0!</v>
      </c>
      <c r="I73" s="7" t="e">
        <f t="shared" si="11"/>
        <v>#DIV/0!</v>
      </c>
      <c r="J73" s="7" t="e">
        <f t="shared" si="11"/>
        <v>#DIV/0!</v>
      </c>
      <c r="K73" s="7" t="e">
        <f t="shared" si="11"/>
        <v>#DIV/0!</v>
      </c>
      <c r="L73" s="7" t="e">
        <f t="shared" si="11"/>
        <v>#DIV/0!</v>
      </c>
      <c r="M73" s="7" t="e">
        <f t="shared" si="11"/>
        <v>#DIV/0!</v>
      </c>
      <c r="N73" s="7" t="e">
        <f t="shared" si="11"/>
        <v>#DIV/0!</v>
      </c>
      <c r="O73" s="7" t="e">
        <f t="shared" si="11"/>
        <v>#DIV/0!</v>
      </c>
      <c r="P73" s="7" t="e">
        <f t="shared" si="11"/>
        <v>#DIV/0!</v>
      </c>
      <c r="Q73" s="7" t="e">
        <f t="shared" si="11"/>
        <v>#DIV/0!</v>
      </c>
      <c r="R73" s="7" t="e">
        <f t="shared" si="11"/>
        <v>#DIV/0!</v>
      </c>
    </row>
    <row r="74" spans="2:19" x14ac:dyDescent="0.25">
      <c r="C74" s="7">
        <f>COUNTIF($C$78,C73)</f>
        <v>1</v>
      </c>
      <c r="D74" s="7">
        <f t="shared" ref="D74:S74" si="12">COUNTIF($C$78,D73)</f>
        <v>1</v>
      </c>
      <c r="E74" s="7">
        <f t="shared" si="12"/>
        <v>1</v>
      </c>
      <c r="F74" s="7">
        <f t="shared" si="12"/>
        <v>1</v>
      </c>
      <c r="G74" s="7">
        <f t="shared" si="12"/>
        <v>1</v>
      </c>
      <c r="H74" s="7">
        <f t="shared" si="12"/>
        <v>1</v>
      </c>
      <c r="I74" s="7">
        <f t="shared" si="12"/>
        <v>1</v>
      </c>
      <c r="J74" s="7">
        <f t="shared" si="12"/>
        <v>1</v>
      </c>
      <c r="K74" s="7">
        <f t="shared" si="12"/>
        <v>1</v>
      </c>
      <c r="L74" s="7">
        <f t="shared" si="12"/>
        <v>1</v>
      </c>
      <c r="M74" s="7">
        <f t="shared" si="12"/>
        <v>1</v>
      </c>
      <c r="N74" s="7">
        <f t="shared" si="12"/>
        <v>1</v>
      </c>
      <c r="O74" s="7">
        <f t="shared" si="12"/>
        <v>1</v>
      </c>
      <c r="P74" s="7">
        <f t="shared" si="12"/>
        <v>1</v>
      </c>
      <c r="Q74" s="7">
        <f t="shared" si="12"/>
        <v>1</v>
      </c>
      <c r="R74" s="7">
        <f t="shared" si="12"/>
        <v>1</v>
      </c>
      <c r="S74" s="7">
        <f t="shared" si="12"/>
        <v>0</v>
      </c>
    </row>
    <row r="75" spans="2:19" x14ac:dyDescent="0.25">
      <c r="C75" s="7" t="e">
        <f>IF(C74=0,$C$71,D73)</f>
        <v>#DIV/0!</v>
      </c>
      <c r="D75" s="7" t="e">
        <f t="shared" ref="D75:S75" si="13">IF(D74=0,$C$71,E73)</f>
        <v>#DIV/0!</v>
      </c>
      <c r="E75" s="7" t="e">
        <f t="shared" si="13"/>
        <v>#DIV/0!</v>
      </c>
      <c r="F75" s="7" t="e">
        <f t="shared" si="13"/>
        <v>#DIV/0!</v>
      </c>
      <c r="G75" s="7" t="e">
        <f t="shared" si="13"/>
        <v>#DIV/0!</v>
      </c>
      <c r="H75" s="7" t="e">
        <f t="shared" si="13"/>
        <v>#DIV/0!</v>
      </c>
      <c r="I75" s="7" t="e">
        <f t="shared" si="13"/>
        <v>#DIV/0!</v>
      </c>
      <c r="J75" s="7" t="e">
        <f t="shared" si="13"/>
        <v>#DIV/0!</v>
      </c>
      <c r="K75" s="7" t="e">
        <f t="shared" si="13"/>
        <v>#DIV/0!</v>
      </c>
      <c r="L75" s="7" t="e">
        <f t="shared" si="13"/>
        <v>#DIV/0!</v>
      </c>
      <c r="M75" s="7" t="e">
        <f t="shared" si="13"/>
        <v>#DIV/0!</v>
      </c>
      <c r="N75" s="7" t="e">
        <f t="shared" si="13"/>
        <v>#DIV/0!</v>
      </c>
      <c r="O75" s="7" t="e">
        <f t="shared" si="13"/>
        <v>#DIV/0!</v>
      </c>
      <c r="P75" s="7" t="e">
        <f t="shared" si="13"/>
        <v>#DIV/0!</v>
      </c>
      <c r="Q75" s="7" t="e">
        <f t="shared" si="13"/>
        <v>#DIV/0!</v>
      </c>
      <c r="R75" s="7">
        <f t="shared" si="13"/>
        <v>0</v>
      </c>
      <c r="S75" s="7" t="e">
        <f t="shared" si="13"/>
        <v>#DIV/0!</v>
      </c>
    </row>
    <row r="76" spans="2:19" x14ac:dyDescent="0.25">
      <c r="B76" s="6" t="s">
        <v>126</v>
      </c>
    </row>
    <row r="77" spans="2:19" x14ac:dyDescent="0.25">
      <c r="B77" s="7" t="s">
        <v>118</v>
      </c>
    </row>
    <row r="78" spans="2:19" x14ac:dyDescent="0.25">
      <c r="B78" s="7">
        <v>1</v>
      </c>
      <c r="C78" s="7" t="e">
        <f>C70</f>
        <v>#DIV/0!</v>
      </c>
      <c r="F78" s="7" t="s">
        <v>63</v>
      </c>
      <c r="G78" s="39">
        <f>IF('Input Processing'!D4&gt;D6,1-(('Input Processing'!D4-D6)/D6),'Input Processing'!D4/D6)</f>
        <v>0</v>
      </c>
    </row>
    <row r="79" spans="2:19" x14ac:dyDescent="0.25">
      <c r="B79" s="7">
        <v>2</v>
      </c>
      <c r="C79" s="7" t="e">
        <f>IF(C74&lt;&gt;0,C75,C73)</f>
        <v>#DIV/0!</v>
      </c>
      <c r="F79" s="7" t="s">
        <v>74</v>
      </c>
      <c r="G79" s="39" t="e">
        <f>K42</f>
        <v>#DIV/0!</v>
      </c>
    </row>
    <row r="80" spans="2:19" x14ac:dyDescent="0.25">
      <c r="F80" s="7" t="s">
        <v>32</v>
      </c>
      <c r="G80" s="39">
        <f>R27</f>
        <v>0</v>
      </c>
    </row>
    <row r="81" spans="2:26" x14ac:dyDescent="0.25">
      <c r="B81" s="7" t="s">
        <v>119</v>
      </c>
      <c r="F81" s="7" t="s">
        <v>29</v>
      </c>
      <c r="G81" s="39" t="e">
        <f>((G78*(1/3))+(G79*(1/3))+(G80*(1/3)))</f>
        <v>#DIV/0!</v>
      </c>
    </row>
    <row r="82" spans="2:26" x14ac:dyDescent="0.25">
      <c r="B82" s="7">
        <v>1</v>
      </c>
      <c r="C82" s="7" t="e">
        <f>VLOOKUP(V58,'Input Processing'!I25:J54,2,FALSE)</f>
        <v>#N/A</v>
      </c>
    </row>
    <row r="83" spans="2:26" x14ac:dyDescent="0.25">
      <c r="B83" s="7">
        <v>2</v>
      </c>
      <c r="C83" s="7" t="e">
        <f>VLOOKUP(X58,'Input Processing'!I25:J54,2,FALSE)</f>
        <v>#N/A</v>
      </c>
    </row>
    <row r="84" spans="2:26" s="9" customFormat="1" x14ac:dyDescent="0.25"/>
    <row r="86" spans="2:26" x14ac:dyDescent="0.25">
      <c r="B86" s="6" t="s">
        <v>130</v>
      </c>
      <c r="K86" s="7" t="str">
        <f>VLOOKUP($H$110,Recommendations!E1:F18,2,FALSE)</f>
        <v>🍋 (£££)｜Plymouth Gin</v>
      </c>
      <c r="L86" s="7" t="str">
        <f>VLOOKUP($H$110,Recommendations!G1:H18,2,FALSE)</f>
        <v xml:space="preserve">🍋 (£££)｜Edinburgh Gin </v>
      </c>
      <c r="M86" s="7" t="str">
        <f>VLOOKUP($H$110,Recommendations!I1:J18,2,FALSE)</f>
        <v>🍋 (£££)｜Cotswolds  Gin</v>
      </c>
      <c r="N86" s="7" t="str">
        <f>VLOOKUP($H$110,Recommendations!K1:L18,2,FALSE)</f>
        <v>🍋 (£££)｜Chase GB Gin</v>
      </c>
      <c r="O86" s="7" t="str">
        <f>VLOOKUP($H$110,Recommendations!M1:N18,2,FALSE)</f>
        <v>🍋 (£££)｜Liverpool Gin</v>
      </c>
      <c r="P86" s="7" t="str">
        <f>VLOOKUP($H$110,Recommendations!O1:P18,2,FALSE)</f>
        <v>🍋 (£££)｜No.3 Gin</v>
      </c>
      <c r="Q86" s="7" t="e">
        <f>VLOOKUP($H$110,Recommendations!Q1:R18,2,FALSE)</f>
        <v>#N/A</v>
      </c>
      <c r="R86" s="7" t="str">
        <f>VLOOKUP($H$110,Recommendations!S1:T18,2,FALSE)</f>
        <v xml:space="preserve">🍋 (£££)｜6 Oclock Gin </v>
      </c>
      <c r="S86" s="7" t="str">
        <f>VLOOKUP($H$110,Recommendations!U1:V18,2,FALSE)</f>
        <v>🍋 (£££)｜City of London Gin</v>
      </c>
      <c r="T86" s="7" t="str">
        <f>VLOOKUP($H$110,Recommendations!W1:X18,2,FALSE)</f>
        <v>🍋 (£££)｜Thomas Dakin Gin</v>
      </c>
      <c r="U86" s="7" t="e">
        <f>VLOOKUP($H$110,Recommendations!Y1:Z18,2,FALSE)</f>
        <v>#N/A</v>
      </c>
      <c r="V86" s="7" t="e">
        <f>VLOOKUP($H$110,Recommendations!AA1:AB18,2,FALSE)</f>
        <v>#N/A</v>
      </c>
      <c r="W86" s="7" t="e">
        <f>VLOOKUP($H$110,Recommendations!AC1:AD18,2,FALSE)</f>
        <v>#N/A</v>
      </c>
      <c r="X86" s="7" t="e">
        <f>VLOOKUP($H$110,Recommendations!AE1:AF18,2,FALSE)</f>
        <v>#N/A</v>
      </c>
      <c r="Y86" s="7" t="e">
        <f>VLOOKUP($H$110,Recommendations!AG1:AH18,2,FALSE)</f>
        <v>#N/A</v>
      </c>
      <c r="Z86" s="7" t="e">
        <f>VLOOKUP($H$110,Recommendations!AI1:AJ18,2,FALSE)</f>
        <v>#N/A</v>
      </c>
    </row>
    <row r="87" spans="2:26" ht="15.75" thickBot="1" x14ac:dyDescent="0.3">
      <c r="E87" s="40" t="s">
        <v>3</v>
      </c>
      <c r="F87" s="40" t="s">
        <v>4</v>
      </c>
      <c r="G87" s="40" t="s">
        <v>64</v>
      </c>
      <c r="H87" s="7" t="s">
        <v>131</v>
      </c>
      <c r="K87" s="7">
        <f>COUNTIF('Input Processing'!$J$25:$J$54,K86)</f>
        <v>0</v>
      </c>
      <c r="L87" s="7">
        <f>COUNTIF('Input Processing'!$J$25:$J$54,L86)</f>
        <v>0</v>
      </c>
      <c r="M87" s="7">
        <f>COUNTIF('Input Processing'!$J$25:$J$54,M86)</f>
        <v>0</v>
      </c>
      <c r="N87" s="7">
        <f>COUNTIF('Input Processing'!$J$25:$J$54,N86)</f>
        <v>0</v>
      </c>
      <c r="O87" s="7">
        <f>COUNTIF('Input Processing'!$J$25:$J$54,O86)</f>
        <v>0</v>
      </c>
      <c r="P87" s="7">
        <f>COUNTIF('Input Processing'!$J$25:$J$54,P86)</f>
        <v>0</v>
      </c>
      <c r="Q87" s="7">
        <f>COUNTIF('Input Processing'!$J$25:$J$54,Q86)</f>
        <v>0</v>
      </c>
      <c r="R87" s="7">
        <f>COUNTIF('Input Processing'!$J$25:$J$54,R86)</f>
        <v>0</v>
      </c>
      <c r="S87" s="7">
        <f>COUNTIF('Input Processing'!$J$25:$J$54,S86)</f>
        <v>0</v>
      </c>
      <c r="T87" s="7">
        <f>COUNTIF('Input Processing'!$J$25:$J$54,T86)</f>
        <v>0</v>
      </c>
      <c r="U87" s="7">
        <f>COUNTIF('Input Processing'!$J$25:$J$54,U86)</f>
        <v>0</v>
      </c>
      <c r="V87" s="7">
        <f>COUNTIF('Input Processing'!$J$25:$J$54,V86)</f>
        <v>0</v>
      </c>
      <c r="W87" s="7">
        <f>COUNTIF('Input Processing'!$J$25:$J$54,W86)</f>
        <v>0</v>
      </c>
      <c r="X87" s="7">
        <f>COUNTIF('Input Processing'!$J$25:$J$54,X86)</f>
        <v>0</v>
      </c>
      <c r="Y87" s="7">
        <f>COUNTIF('Input Processing'!$J$25:$J$54,Y86)</f>
        <v>0</v>
      </c>
      <c r="Z87" s="7">
        <f>COUNTIF('Input Processing'!$J$25:$J$54,Z86)</f>
        <v>0</v>
      </c>
    </row>
    <row r="88" spans="2:26" ht="15.75" thickBot="1" x14ac:dyDescent="0.3">
      <c r="B88" s="7" t="s">
        <v>35</v>
      </c>
      <c r="E88" s="7">
        <f>VLOOKUP(B88,'Input Processing'!$G$3:$J$20,4,FALSE)</f>
        <v>0</v>
      </c>
      <c r="F88" s="7">
        <f>J21</f>
        <v>1</v>
      </c>
      <c r="G88" s="7">
        <f>F88-E88</f>
        <v>1</v>
      </c>
      <c r="H88" s="7" t="str">
        <f>IF(G88&gt;0,B88,"")</f>
        <v>FloralSuper Premium</v>
      </c>
      <c r="I88" s="7" t="str">
        <f>IF(G88&lt;0,B88,"")</f>
        <v/>
      </c>
      <c r="K88" s="11" t="str">
        <f>IF(K87=0,K86,IF(L87=0,L86,IF(M87=0,M86,IF(N87=0,N86,IF(O87=0,O86,IF(P87=0,P86,IF(Q87=0,Q86,IF(R87=0,R86,IF(S87=0,S86,IF(T87=0,T86,IF(U87=0,U86,IF(V87=0,V86,IF(W87=0,W86,IF(X87=0,X86,IF(Y87=0,Y86,IF(Z87=0,Z86,"None"))))))))))))))))</f>
        <v>🍋 (£££)｜Plymouth Gin</v>
      </c>
      <c r="L88" s="11" t="str">
        <f>IF(L87=0,L86,IF(M87=0,M86,IF(N87=0,N86,IF(O87=0,O86,IF(P87=0,P86,IF(Q87=0,Q86,IF(R87=0,R86,IF(S87=0,S86,IF(T87=0,T86,IF(U87=0,U86,IF(V87=0,V86,IF(W87=0,W86,IF(X87=0,X86,IF(Y87=0,Y86,IF(Z87=0,Z86,"None")))))))))))))))</f>
        <v xml:space="preserve">🍋 (£££)｜Edinburgh Gin </v>
      </c>
      <c r="M88" s="11" t="str">
        <f>IF(M87=0,M86,IF(N87=0,N86,IF(O87=0,O86,IF(P87=0,P86,IF(Q87=0,Q86,IF(R87=0,R86,IF(S87=0,S86,IF(T87=0,T86,IF(U87=0,U86,IF(V87=0,V86,IF(W87=0,W86,IF(X87=0,X86,IF(Y87=0,Y86,IF(Z87=0,Z86,"None"))))))))))))))</f>
        <v>🍋 (£££)｜Cotswolds  Gin</v>
      </c>
      <c r="N88" s="11" t="str">
        <f>IF(N87=0,N86,IF(O87=0,O86,IF(P87=0,P86,IF(Q87=0,Q86,IF(R87=0,R86,IF(S87=0,S86,IF(T87=0,T86,IF(U87=0,U86,IF(V87=0,V86,IF(W87=0,W86,IF(X87=0,X86,IF(Y87=0,Y86,IF(Z87=0,Z86,"None")))))))))))))</f>
        <v>🍋 (£££)｜Chase GB Gin</v>
      </c>
      <c r="O88" s="11" t="str">
        <f>IF(O87=0,O86,IF(P87=0,P86,IF(Q87=0,Q86,IF(R87=0,R86,IF(S87=0,S86,IF(T87=0,T86,IF(U87=0,U86,IF(V87=0,V86,IF(W87=0,W86,IF(X87=0,X86,IF(Y87=0,Y86,IF(Z87=0,Z86,"None"))))))))))))</f>
        <v>🍋 (£££)｜Liverpool Gin</v>
      </c>
      <c r="P88" s="11" t="str">
        <f>IF(P87=0,P86,IF(Q87=0,Q86,IF(R87=0,R86,IF(S87=0,S86,IF(T87=0,T86,IF(U87=0,U86,IF(V87=0,V86,IF(W87=0,W86,IF(X87=0,X86,IF(Y87=0,Y86,IF(Z87=0,Z86,"None")))))))))))</f>
        <v>🍋 (£££)｜No.3 Gin</v>
      </c>
      <c r="Q88" s="11" t="e">
        <f>IF(Q87=0,Q86,IF(R87=0,R86,IF(S87=0,S86,IF(T87=0,T86,IF(U87=0,U86,IF(V87=0,V86,IF(W87=0,W86,IF(X87=0,X86,IF(Y87=0,Y86,IF(Z87=0,Z86,"None"))))))))))</f>
        <v>#N/A</v>
      </c>
      <c r="R88" s="11" t="str">
        <f>IF(R87=0,R86,IF(S87=0,S86,IF(T87=0,T86,IF(U87=0,U86,IF(V87=0,V86,IF(W87=0,W86,IF(X87=0,X86,IF(Y87=0,Y86,IF(Z87=0,Z86,"None")))))))))</f>
        <v xml:space="preserve">🍋 (£££)｜6 Oclock Gin </v>
      </c>
      <c r="S88" s="11" t="str">
        <f>IF(S87=0,S86,IF(T87=0,T86,IF(U87=0,U86,IF(V87=0,V86,IF(W87=0,W86,IF(X87=0,X86,IF(Y87=0,Y86,IF(Z87=0,Z86,"None"))))))))</f>
        <v>🍋 (£££)｜City of London Gin</v>
      </c>
      <c r="T88" s="11" t="str">
        <f>IF(T87=0,T86,IF(U87=0,U86,IF(V87=0,V86,IF(W87=0,W86,IF(X87=0,X86,IF(Y87=0,Y86,IF(Z87=0,Z86,"None")))))))</f>
        <v>🍋 (£££)｜Thomas Dakin Gin</v>
      </c>
      <c r="U88" s="11" t="e">
        <f>IF(U87=0,U86,IF(V87=0,V86,IF(W87=0,W86,IF(X87=0,X86,IF(Y87=0,Y86,IF(Z87=0,Z86,"None"))))))</f>
        <v>#N/A</v>
      </c>
      <c r="V88" s="11" t="e">
        <f>IF(V87=0,V86,IF(W87=0,W86,IF(X87=0,X86,IF(Y87=0,Y86,IF(Z87=0,Z86,"None")))))</f>
        <v>#N/A</v>
      </c>
      <c r="W88" s="11" t="e">
        <f>IF(W87=0,W86,IF(X87=0,X86,IF(Y87=0,Y86,IF(Z87=0,Z86,"None"))))</f>
        <v>#N/A</v>
      </c>
      <c r="X88" s="11" t="e">
        <f>IF(X87=0,X86,IF(Y87=0,Y86,IF(Z87=0,Z86,"None")))</f>
        <v>#N/A</v>
      </c>
      <c r="Y88" s="11" t="e">
        <f>IF(Y87=0,Y86,IF(Z87=0,Z86,"None"))</f>
        <v>#N/A</v>
      </c>
      <c r="Z88" s="11" t="e">
        <f>IF(Z87=0,Z86,"None")</f>
        <v>#N/A</v>
      </c>
    </row>
    <row r="89" spans="2:26" x14ac:dyDescent="0.25">
      <c r="B89" s="7" t="s">
        <v>36</v>
      </c>
      <c r="E89" s="7">
        <f>VLOOKUP(B89,'Input Processing'!$G$3:$J$20,4,FALSE)</f>
        <v>0</v>
      </c>
      <c r="F89" s="7">
        <f>J17</f>
        <v>1</v>
      </c>
      <c r="G89" s="7">
        <f t="shared" ref="G89:G105" si="14">F89-E89</f>
        <v>1</v>
      </c>
      <c r="H89" s="7" t="str">
        <f t="shared" ref="H89:H105" si="15">IF(G89&gt;0,B89,"")</f>
        <v>JuniperSuper Premium</v>
      </c>
      <c r="I89" s="7" t="str">
        <f t="shared" ref="I89:I105" si="16">IF(G89&lt;0,B89,"")</f>
        <v/>
      </c>
      <c r="K89" s="7" t="str">
        <f>IF(J88=K88,"",K88)</f>
        <v>🍋 (£££)｜Plymouth Gin</v>
      </c>
      <c r="L89" s="7" t="str">
        <f>IF(K88=L88,"",L88)</f>
        <v xml:space="preserve">🍋 (£££)｜Edinburgh Gin </v>
      </c>
      <c r="M89" s="7" t="str">
        <f t="shared" ref="M89:Z89" si="17">IF(L88=M88,"",M88)</f>
        <v>🍋 (£££)｜Cotswolds  Gin</v>
      </c>
      <c r="N89" s="7" t="str">
        <f t="shared" si="17"/>
        <v>🍋 (£££)｜Chase GB Gin</v>
      </c>
      <c r="O89" s="7" t="str">
        <f t="shared" si="17"/>
        <v>🍋 (£££)｜Liverpool Gin</v>
      </c>
      <c r="P89" s="7" t="str">
        <f t="shared" si="17"/>
        <v>🍋 (£££)｜No.3 Gin</v>
      </c>
      <c r="Q89" s="7" t="e">
        <f t="shared" si="17"/>
        <v>#N/A</v>
      </c>
      <c r="R89" s="7" t="e">
        <f t="shared" si="17"/>
        <v>#N/A</v>
      </c>
      <c r="S89" s="7" t="str">
        <f t="shared" si="17"/>
        <v>🍋 (£££)｜City of London Gin</v>
      </c>
      <c r="T89" s="7" t="str">
        <f t="shared" si="17"/>
        <v>🍋 (£££)｜Thomas Dakin Gin</v>
      </c>
      <c r="U89" s="7" t="e">
        <f t="shared" si="17"/>
        <v>#N/A</v>
      </c>
      <c r="V89" s="7" t="e">
        <f t="shared" si="17"/>
        <v>#N/A</v>
      </c>
      <c r="W89" s="7" t="e">
        <f t="shared" si="17"/>
        <v>#N/A</v>
      </c>
      <c r="X89" s="7" t="e">
        <f t="shared" si="17"/>
        <v>#N/A</v>
      </c>
      <c r="Y89" s="7" t="e">
        <f t="shared" si="17"/>
        <v>#N/A</v>
      </c>
      <c r="Z89" s="7" t="e">
        <f t="shared" si="17"/>
        <v>#N/A</v>
      </c>
    </row>
    <row r="90" spans="2:26" x14ac:dyDescent="0.25">
      <c r="B90" s="7" t="s">
        <v>37</v>
      </c>
      <c r="E90" s="7">
        <f>VLOOKUP(B90,'Input Processing'!$G$3:$J$20,4,FALSE)</f>
        <v>0</v>
      </c>
      <c r="F90" s="7">
        <f>J16</f>
        <v>1</v>
      </c>
      <c r="G90" s="7">
        <f t="shared" si="14"/>
        <v>1</v>
      </c>
      <c r="H90" s="7" t="str">
        <f t="shared" si="15"/>
        <v>FruitPremium</v>
      </c>
      <c r="I90" s="7" t="str">
        <f t="shared" si="16"/>
        <v/>
      </c>
      <c r="K90" s="7" t="str">
        <f>IF(K87=0,K86,IF(L87=0,L86,IF(M87=0,M86,IF(N87=0,N86,IF(O87=0,O86,IF(P87=0,P86,IF(Q87=0,Q86,IF(R87=0,R86,IF(S87=0,S86,IF(T87=0,T86,IF(U87=0,U86,IF(V87=0,V86,IF(W87=0,W86,IF(X87=0,X86,IF(Y87=0,Y86,IF(Z87=0,Z86,"None"))))))))))))))))</f>
        <v>🍋 (£££)｜Plymouth Gin</v>
      </c>
      <c r="L90" s="7" t="str">
        <f>IF(L89="",M89,IF(L87=0,L86,IF(M87=0,M86,IF(N87=0,N86,IF(O87=0,O86,IF(P87=0,P86,IF(Q87=0,Q86,IF(R87=0,R86,IF(S87=0,S86,IF(T87=0,T86,IF(U87=0,U86,IF(V87=0,V86,IF(W87=0,W86,IF(X87=0,X86,IF(Y87=0,Y86,IF(Z87=0,Z86,"None"))))))))))))))))</f>
        <v xml:space="preserve">🍋 (£££)｜Edinburgh Gin </v>
      </c>
    </row>
    <row r="91" spans="2:26" x14ac:dyDescent="0.25">
      <c r="B91" s="7" t="s">
        <v>38</v>
      </c>
      <c r="E91" s="7">
        <f>VLOOKUP(B91,'Input Processing'!$G$3:$J$20,4,FALSE)</f>
        <v>0</v>
      </c>
      <c r="F91" s="7">
        <f>J5</f>
        <v>1</v>
      </c>
      <c r="G91" s="7">
        <f t="shared" si="14"/>
        <v>1</v>
      </c>
      <c r="H91" s="7" t="str">
        <f t="shared" si="15"/>
        <v>JuniperStandard</v>
      </c>
      <c r="I91" s="7" t="str">
        <f t="shared" si="16"/>
        <v/>
      </c>
      <c r="K91" s="7" t="str">
        <f>VLOOKUP($H$106,Recommendations!E1:F18,2,FALSE)</f>
        <v>✿  (£££)｜Hendrick's Gin</v>
      </c>
      <c r="L91" s="7" t="str">
        <f>VLOOKUP($H$106,Recommendations!G1:H18,2,FALSE)</f>
        <v>✿ (£££)｜The Botanist</v>
      </c>
      <c r="M91" s="7" t="str">
        <f>VLOOKUP($H$106,Recommendations!I1:J18,2,FALSE)</f>
        <v>✿ (£££)｜BLOOM Original Gin</v>
      </c>
      <c r="N91" s="7" t="str">
        <f>VLOOKUP($H$106,Recommendations!K1:L18,2,FALSE)</f>
        <v>✿ (£££)｜Caorunn Gin</v>
      </c>
      <c r="O91" s="7" t="str">
        <f>VLOOKUP($H$106,Recommendations!M1:N18,2,FALSE)</f>
        <v xml:space="preserve">✿  (£££)｜Aviation Gin </v>
      </c>
      <c r="P91" s="7" t="str">
        <f>VLOOKUP($H$106,Recommendations!O1:P18,2,FALSE)</f>
        <v>✿ (£££)｜Hendrick's Midsummer Solstice</v>
      </c>
      <c r="Q91" s="7" t="e">
        <f>VLOOKUP($H$106,Recommendations!Q1:R18,2,FALSE)</f>
        <v>#N/A</v>
      </c>
      <c r="R91" s="7" t="str">
        <f>VLOOKUP($H$106,Recommendations!S1:T18,2,FALSE)</f>
        <v>✿ (£££)｜Tarquin's Gin</v>
      </c>
      <c r="S91" s="7" t="str">
        <f>VLOOKUP($H$106,Recommendations!U1:V18,2,FALSE)</f>
        <v xml:space="preserve">✿ (£££)｜Edinburgh Seaside Gin </v>
      </c>
      <c r="T91" s="7" t="e">
        <f>VLOOKUP($H$106,Recommendations!W1:X18,2,FALSE)</f>
        <v>#N/A</v>
      </c>
      <c r="U91" s="7" t="e">
        <f>VLOOKUP($H$106,Recommendations!Y1:Z18,2,FALSE)</f>
        <v>#N/A</v>
      </c>
      <c r="V91" s="7" t="e">
        <f>VLOOKUP($H$106,Recommendations!AA1:AB18,2,FALSE)</f>
        <v>#N/A</v>
      </c>
      <c r="W91" s="7" t="e">
        <f>VLOOKUP($H$106,Recommendations!AC1:AD18,2,FALSE)</f>
        <v>#N/A</v>
      </c>
      <c r="X91" s="7" t="e">
        <f>VLOOKUP($H$106,Recommendations!AE1:AF18,2,FALSE)</f>
        <v>#N/A</v>
      </c>
      <c r="Y91" s="7" t="e">
        <f>VLOOKUP($H$106,Recommendations!AG1:AH18,2,FALSE)</f>
        <v>#N/A</v>
      </c>
      <c r="Z91" s="7" t="e">
        <f>VLOOKUP($H$106,Recommendations!AI1:AJ18,2,FALSE)</f>
        <v>#N/A</v>
      </c>
    </row>
    <row r="92" spans="2:26" ht="15.75" thickBot="1" x14ac:dyDescent="0.3">
      <c r="B92" s="7" t="s">
        <v>39</v>
      </c>
      <c r="E92" s="7">
        <f>VLOOKUP(B92,'Input Processing'!$G$3:$J$20,4,FALSE)</f>
        <v>0</v>
      </c>
      <c r="F92" s="7">
        <f>J15</f>
        <v>0</v>
      </c>
      <c r="G92" s="7">
        <f t="shared" si="14"/>
        <v>0</v>
      </c>
      <c r="H92" s="7" t="str">
        <f t="shared" si="15"/>
        <v/>
      </c>
      <c r="I92" s="7" t="str">
        <f t="shared" si="16"/>
        <v/>
      </c>
      <c r="K92" s="7">
        <f>COUNTIF('Input Processing'!$N$25:$N$54,K91)</f>
        <v>0</v>
      </c>
      <c r="L92" s="7">
        <f>COUNTIF('Input Processing'!$N$25:$N$54,L91)</f>
        <v>0</v>
      </c>
      <c r="M92" s="7">
        <f>COUNTIF('Input Processing'!$N$25:$N$54,M91)</f>
        <v>0</v>
      </c>
      <c r="N92" s="7">
        <f>COUNTIF('Input Processing'!$N$25:$N$54,N91)</f>
        <v>0</v>
      </c>
      <c r="O92" s="7">
        <f>COUNTIF('Input Processing'!$N$25:$N$54,O91)</f>
        <v>0</v>
      </c>
      <c r="P92" s="7">
        <f>COUNTIF('Input Processing'!$N$25:$N$54,P91)</f>
        <v>0</v>
      </c>
      <c r="Q92" s="7">
        <f>COUNTIF('Input Processing'!$N$25:$N$54,Q91)</f>
        <v>0</v>
      </c>
      <c r="R92" s="7">
        <f>COUNTIF('Input Processing'!$N$25:$N$54,R91)</f>
        <v>0</v>
      </c>
      <c r="S92" s="7">
        <f>COUNTIF('Input Processing'!$N$25:$N$54,S91)</f>
        <v>0</v>
      </c>
      <c r="T92" s="7">
        <f>COUNTIF('Input Processing'!$N$25:$N$54,T91)</f>
        <v>0</v>
      </c>
      <c r="U92" s="7">
        <f>COUNTIF('Input Processing'!$N$25:$N$54,U91)</f>
        <v>0</v>
      </c>
      <c r="V92" s="7">
        <f>COUNTIF('Input Processing'!$N$25:$N$54,V91)</f>
        <v>0</v>
      </c>
      <c r="W92" s="7">
        <f>COUNTIF('Input Processing'!$N$25:$N$54,W91)</f>
        <v>0</v>
      </c>
      <c r="X92" s="7">
        <f>COUNTIF('Input Processing'!$N$25:$N$54,X91)</f>
        <v>0</v>
      </c>
      <c r="Y92" s="7">
        <f>COUNTIF('Input Processing'!$N$25:$N$54,Y91)</f>
        <v>0</v>
      </c>
      <c r="Z92" s="7">
        <f>COUNTIF('Input Processing'!$N$25:$N$54,Z91)</f>
        <v>0</v>
      </c>
    </row>
    <row r="93" spans="2:26" ht="15.75" thickBot="1" x14ac:dyDescent="0.3">
      <c r="B93" s="7" t="s">
        <v>40</v>
      </c>
      <c r="E93" s="7">
        <f>VLOOKUP(B93,'Input Processing'!$G$3:$J$20,4,FALSE)</f>
        <v>0</v>
      </c>
      <c r="F93" s="7">
        <f>J11</f>
        <v>1</v>
      </c>
      <c r="G93" s="7">
        <f t="shared" si="14"/>
        <v>1</v>
      </c>
      <c r="H93" s="7" t="str">
        <f t="shared" si="15"/>
        <v>JuniperPremium</v>
      </c>
      <c r="I93" s="7" t="str">
        <f t="shared" si="16"/>
        <v/>
      </c>
      <c r="K93" s="11" t="str">
        <f>IF(K92=0,K91,IF(L92=0,L91,IF(M92=0,M91,IF(N92=0,N91,IF(O92=0,O91,IF(P92=0,P91,IF(Q92=0,Q91,IF(R92=0,R91,IF(S92=0,S91,IF(T92=0,T91,IF(U92=0,U91,IF(V92=0,V91,IF(W92=0,W91,IF(X92=0,X91,IF(Y92=0,Y91,IF(Z92=0,Z91,"None"))))))))))))))))</f>
        <v>✿  (£££)｜Hendrick's Gin</v>
      </c>
      <c r="L93" s="11" t="str">
        <f>IF(L92=0,L91,IF(M92=0,M91,IF(N92=0,N91,IF(O92=0,O91,IF(P92=0,P91,IF(Q92=0,Q91,IF(R92=0,R91,IF(S92=0,S91,IF(T92=0,T91,IF(U92=0,U91,IF(V92=0,V91,IF(W92=0,W91,IF(X92=0,X91,IF(Y92=0,Y91,IF(Z92=0,Z91,"None")))))))))))))))</f>
        <v>✿ (£££)｜The Botanist</v>
      </c>
      <c r="M93" s="11" t="str">
        <f>IF(M92=0,M91,IF(N92=0,N91,IF(O92=0,O91,IF(P92=0,P91,IF(Q92=0,Q91,IF(R92=0,R91,IF(S92=0,S91,IF(T92=0,T91,IF(U92=0,U91,IF(V92=0,V91,IF(W92=0,W91,IF(X92=0,X91,IF(Y92=0,Y91,IF(Z92=0,Z91,"None"))))))))))))))</f>
        <v>✿ (£££)｜BLOOM Original Gin</v>
      </c>
      <c r="N93" s="11" t="str">
        <f>IF(N92=0,N91,IF(O92=0,O91,IF(P92=0,P91,IF(Q92=0,Q91,IF(R92=0,R91,IF(S92=0,S91,IF(T92=0,T91,IF(U92=0,U91,IF(V92=0,V91,IF(W92=0,W91,IF(X92=0,X91,IF(Y92=0,Y91,IF(Z92=0,Z91,"None")))))))))))))</f>
        <v>✿ (£££)｜Caorunn Gin</v>
      </c>
      <c r="O93" s="11" t="str">
        <f>IF(O92=0,O91,IF(P92=0,P91,IF(Q92=0,Q91,IF(R92=0,R91,IF(S92=0,S91,IF(T92=0,T91,IF(U92=0,U91,IF(V92=0,V91,IF(W92=0,W91,IF(X92=0,X91,IF(Y92=0,Y91,IF(Z92=0,Z91,"None"))))))))))))</f>
        <v xml:space="preserve">✿  (£££)｜Aviation Gin </v>
      </c>
      <c r="P93" s="11" t="str">
        <f>IF(P92=0,P91,IF(Q92=0,Q91,IF(R92=0,R91,IF(S92=0,S91,IF(T92=0,T91,IF(U92=0,U91,IF(V92=0,V91,IF(W92=0,W91,IF(X92=0,X91,IF(Y92=0,Y91,IF(Z92=0,Z91,"None")))))))))))</f>
        <v>✿ (£££)｜Hendrick's Midsummer Solstice</v>
      </c>
      <c r="Q93" s="11" t="e">
        <f>IF(Q92=0,Q91,IF(R92=0,R91,IF(S92=0,S91,IF(T92=0,T91,IF(U92=0,U91,IF(V92=0,V91,IF(W92=0,W91,IF(X92=0,X91,IF(Y92=0,Y91,IF(Z92=0,Z91,"None"))))))))))</f>
        <v>#N/A</v>
      </c>
      <c r="R93" s="11" t="str">
        <f>IF(R92=0,R91,IF(S92=0,S91,IF(T92=0,T91,IF(U92=0,U91,IF(V92=0,V91,IF(W92=0,W91,IF(X92=0,X91,IF(Y92=0,Y91,IF(Z92=0,Z91,"None")))))))))</f>
        <v>✿ (£££)｜Tarquin's Gin</v>
      </c>
      <c r="S93" s="11" t="str">
        <f>IF(S92=0,S91,IF(T92=0,T91,IF(U92=0,U91,IF(V92=0,V91,IF(W92=0,W91,IF(X92=0,X91,IF(Y92=0,Y91,IF(Z92=0,Z91,"None"))))))))</f>
        <v xml:space="preserve">✿ (£££)｜Edinburgh Seaside Gin </v>
      </c>
      <c r="T93" s="11" t="e">
        <f>IF(T92=0,T91,IF(U92=0,U91,IF(V92=0,V91,IF(W92=0,W91,IF(X92=0,X91,IF(Y92=0,Y91,IF(Z92=0,Z91,"None")))))))</f>
        <v>#N/A</v>
      </c>
      <c r="U93" s="11" t="e">
        <f>IF(U92=0,U91,IF(V92=0,V91,IF(W92=0,W91,IF(X92=0,X91,IF(Y92=0,Y91,IF(Z92=0,Z91,"None"))))))</f>
        <v>#N/A</v>
      </c>
      <c r="V93" s="11" t="e">
        <f>IF(V92=0,V91,IF(W92=0,W91,IF(X92=0,X91,IF(Y92=0,Y91,IF(Z92=0,Z91,"None")))))</f>
        <v>#N/A</v>
      </c>
      <c r="W93" s="11" t="e">
        <f>IF(W92=0,W91,IF(X92=0,X91,IF(Y92=0,Y91,IF(Z92=0,Z91,"None"))))</f>
        <v>#N/A</v>
      </c>
      <c r="X93" s="11" t="e">
        <f>IF(X92=0,X91,IF(Y92=0,Y91,IF(Z92=0,Z91,"None")))</f>
        <v>#N/A</v>
      </c>
      <c r="Y93" s="11" t="e">
        <f>IF(Y92=0,Y91,IF(Z92=0,Z91,"None"))</f>
        <v>#N/A</v>
      </c>
      <c r="Z93" s="11" t="e">
        <f>IF(Z92=0,Z91,"None")</f>
        <v>#N/A</v>
      </c>
    </row>
    <row r="94" spans="2:26" x14ac:dyDescent="0.25">
      <c r="B94" s="7" t="s">
        <v>41</v>
      </c>
      <c r="E94" s="7">
        <f>VLOOKUP(B94,'Input Processing'!$G$3:$J$20,4,FALSE)</f>
        <v>0</v>
      </c>
      <c r="F94" s="7">
        <f>J12</f>
        <v>1</v>
      </c>
      <c r="G94" s="7">
        <f t="shared" si="14"/>
        <v>1</v>
      </c>
      <c r="H94" s="7" t="str">
        <f t="shared" si="15"/>
        <v>CitrusPremium</v>
      </c>
      <c r="I94" s="7" t="str">
        <f t="shared" si="16"/>
        <v/>
      </c>
      <c r="K94" s="7" t="str">
        <f>IF(J93=K93,"",K93)</f>
        <v>✿  (£££)｜Hendrick's Gin</v>
      </c>
      <c r="L94" s="7" t="str">
        <f>IF(K93=L93,"",L93)</f>
        <v>✿ (£££)｜The Botanist</v>
      </c>
      <c r="M94" s="7" t="str">
        <f t="shared" ref="M94:Z94" si="18">IF(L93=M93,"",M93)</f>
        <v>✿ (£££)｜BLOOM Original Gin</v>
      </c>
      <c r="N94" s="7" t="str">
        <f t="shared" si="18"/>
        <v>✿ (£££)｜Caorunn Gin</v>
      </c>
      <c r="O94" s="7" t="str">
        <f t="shared" si="18"/>
        <v xml:space="preserve">✿  (£££)｜Aviation Gin </v>
      </c>
      <c r="P94" s="7" t="str">
        <f t="shared" si="18"/>
        <v>✿ (£££)｜Hendrick's Midsummer Solstice</v>
      </c>
      <c r="Q94" s="7" t="e">
        <f t="shared" si="18"/>
        <v>#N/A</v>
      </c>
      <c r="R94" s="7" t="e">
        <f t="shared" si="18"/>
        <v>#N/A</v>
      </c>
      <c r="S94" s="7" t="str">
        <f t="shared" si="18"/>
        <v xml:space="preserve">✿ (£££)｜Edinburgh Seaside Gin </v>
      </c>
      <c r="T94" s="7" t="e">
        <f t="shared" si="18"/>
        <v>#N/A</v>
      </c>
      <c r="U94" s="7" t="e">
        <f t="shared" si="18"/>
        <v>#N/A</v>
      </c>
      <c r="V94" s="7" t="e">
        <f t="shared" si="18"/>
        <v>#N/A</v>
      </c>
      <c r="W94" s="7" t="e">
        <f t="shared" si="18"/>
        <v>#N/A</v>
      </c>
      <c r="X94" s="7" t="e">
        <f t="shared" si="18"/>
        <v>#N/A</v>
      </c>
      <c r="Y94" s="7" t="e">
        <f t="shared" si="18"/>
        <v>#N/A</v>
      </c>
      <c r="Z94" s="7" t="e">
        <f t="shared" si="18"/>
        <v>#N/A</v>
      </c>
    </row>
    <row r="95" spans="2:26" x14ac:dyDescent="0.25">
      <c r="B95" s="7" t="s">
        <v>42</v>
      </c>
      <c r="E95" s="7">
        <f>VLOOKUP(B95,'Input Processing'!$G$3:$J$20,4,FALSE)</f>
        <v>0</v>
      </c>
      <c r="F95" s="7">
        <f>J22</f>
        <v>1</v>
      </c>
      <c r="G95" s="7">
        <f t="shared" si="14"/>
        <v>1</v>
      </c>
      <c r="H95" s="7" t="str">
        <f t="shared" si="15"/>
        <v>FruitSuper Premium</v>
      </c>
      <c r="I95" s="7" t="str">
        <f t="shared" si="16"/>
        <v/>
      </c>
      <c r="K95" s="7" t="str">
        <f>IF(K92=0,K91,IF(L92=0,L91,IF(M92=0,M91,IF(N92=0,N91,IF(O92=0,O91,IF(P92=0,P91,IF(Q92=0,Q91,IF(R92=0,R91,IF(S92=0,S91,IF(T92=0,T91,IF(U92=0,U91,IF(V92=0,V91,IF(W92=0,W91,IF(X92=0,X91,IF(Y92=0,Y91,IF(Z92=0,Z91,"None"))))))))))))))))</f>
        <v>✿  (£££)｜Hendrick's Gin</v>
      </c>
      <c r="L95" s="7" t="str">
        <f>IF(L94="",M94,IF(L92=0,L91,IF(M92=0,M91,IF(N92=0,N91,IF(O92=0,O91,IF(P92=0,P91,IF(Q92=0,Q91,IF(R92=0,R91,IF(S92=0,S91,IF(T92=0,T91,IF(U92=0,U91,IF(V92=0,V91,IF(W92=0,W91,IF(X92=0,X91,IF(Y92=0,Y91,IF(Z92=0,Z91,"None"))))))))))))))))</f>
        <v>✿ (£££)｜The Botanist</v>
      </c>
    </row>
    <row r="96" spans="2:26" x14ac:dyDescent="0.25">
      <c r="B96" s="7" t="s">
        <v>43</v>
      </c>
      <c r="E96" s="7">
        <f>VLOOKUP(B96,'Input Processing'!$G$3:$J$20,4,FALSE)</f>
        <v>0</v>
      </c>
      <c r="F96" s="7">
        <f>J18</f>
        <v>1</v>
      </c>
      <c r="G96" s="7">
        <f t="shared" si="14"/>
        <v>1</v>
      </c>
      <c r="H96" s="7" t="str">
        <f t="shared" si="15"/>
        <v>CitrusSuper Premium</v>
      </c>
      <c r="I96" s="7" t="str">
        <f t="shared" si="16"/>
        <v/>
      </c>
    </row>
    <row r="97" spans="2:16" x14ac:dyDescent="0.25">
      <c r="B97" s="7" t="s">
        <v>44</v>
      </c>
      <c r="E97" s="7">
        <f>VLOOKUP(B97,'Input Processing'!$G$3:$J$20,4,FALSE)</f>
        <v>0</v>
      </c>
      <c r="F97" s="7">
        <f>J19</f>
        <v>0</v>
      </c>
      <c r="G97" s="7">
        <f t="shared" si="14"/>
        <v>0</v>
      </c>
      <c r="H97" s="7" t="str">
        <f t="shared" si="15"/>
        <v/>
      </c>
      <c r="I97" s="7" t="str">
        <f t="shared" si="16"/>
        <v/>
      </c>
    </row>
    <row r="98" spans="2:16" x14ac:dyDescent="0.25">
      <c r="B98" s="7" t="s">
        <v>45</v>
      </c>
      <c r="E98" s="7">
        <f>VLOOKUP(B98,'Input Processing'!$G$3:$J$20,4,FALSE)</f>
        <v>0</v>
      </c>
      <c r="F98" s="7">
        <f>J20</f>
        <v>1</v>
      </c>
      <c r="G98" s="7">
        <f t="shared" si="14"/>
        <v>1</v>
      </c>
      <c r="H98" s="7" t="str">
        <f t="shared" si="15"/>
        <v>HerbaceousSuper Premium</v>
      </c>
      <c r="I98" s="7" t="str">
        <f t="shared" si="16"/>
        <v/>
      </c>
    </row>
    <row r="99" spans="2:16" x14ac:dyDescent="0.25">
      <c r="B99" s="7" t="s">
        <v>46</v>
      </c>
      <c r="E99" s="7">
        <f>VLOOKUP(B99,'Input Processing'!$G$3:$J$20,4,FALSE)</f>
        <v>0</v>
      </c>
      <c r="F99" s="7">
        <f>J10</f>
        <v>1</v>
      </c>
      <c r="G99" s="7">
        <f t="shared" si="14"/>
        <v>1</v>
      </c>
      <c r="H99" s="7" t="str">
        <f t="shared" si="15"/>
        <v>FruitStandard</v>
      </c>
      <c r="I99" s="7" t="str">
        <f t="shared" si="16"/>
        <v/>
      </c>
      <c r="K99" s="6" t="s">
        <v>118</v>
      </c>
      <c r="O99" s="6" t="s">
        <v>119</v>
      </c>
      <c r="P99" s="6"/>
    </row>
    <row r="100" spans="2:16" x14ac:dyDescent="0.25">
      <c r="B100" s="7" t="s">
        <v>47</v>
      </c>
      <c r="E100" s="7">
        <f>VLOOKUP(B100,'Input Processing'!$G$3:$J$20,4,FALSE)</f>
        <v>0</v>
      </c>
      <c r="F100" s="7">
        <f>J14</f>
        <v>0</v>
      </c>
      <c r="G100" s="7">
        <f t="shared" si="14"/>
        <v>0</v>
      </c>
      <c r="H100" s="7" t="str">
        <f t="shared" si="15"/>
        <v/>
      </c>
      <c r="I100" s="7" t="str">
        <f t="shared" si="16"/>
        <v/>
      </c>
      <c r="K100" s="6">
        <v>1</v>
      </c>
      <c r="L100" s="7" t="str">
        <f>IFERROR(K95,"None")</f>
        <v>✿  (£££)｜Hendrick's Gin</v>
      </c>
      <c r="O100" s="6">
        <v>1</v>
      </c>
      <c r="P100" s="7" t="str">
        <f>IFERROR((VLOOKUP(I106,'Input Processing'!I25:J54,2,FALSE)),"None")</f>
        <v>None</v>
      </c>
    </row>
    <row r="101" spans="2:16" x14ac:dyDescent="0.25">
      <c r="B101" s="7" t="s">
        <v>48</v>
      </c>
      <c r="E101" s="7">
        <f>VLOOKUP(B101,'Input Processing'!$G$3:$J$20,4,FALSE)</f>
        <v>0</v>
      </c>
      <c r="F101" s="7">
        <f>J13</f>
        <v>0</v>
      </c>
      <c r="G101" s="7">
        <f t="shared" si="14"/>
        <v>0</v>
      </c>
      <c r="H101" s="7" t="str">
        <f t="shared" si="15"/>
        <v/>
      </c>
      <c r="I101" s="7" t="str">
        <f t="shared" si="16"/>
        <v/>
      </c>
      <c r="K101" s="6">
        <v>2</v>
      </c>
      <c r="L101" s="7" t="str">
        <f>IFERROR(K90,IFERROR(L95,"None"))</f>
        <v>🍋 (£££)｜Plymouth Gin</v>
      </c>
      <c r="O101" s="6">
        <v>2</v>
      </c>
      <c r="P101" s="7" t="str">
        <f>IFERROR((VLOOKUP(I110,'Input Processing'!I25:J54,2,FALSE)),"None")</f>
        <v>None</v>
      </c>
    </row>
    <row r="102" spans="2:16" x14ac:dyDescent="0.25">
      <c r="B102" s="7" t="s">
        <v>49</v>
      </c>
      <c r="E102" s="7">
        <f>VLOOKUP(B102,'Input Processing'!$G$3:$J$20,4,FALSE)</f>
        <v>0</v>
      </c>
      <c r="F102" s="7">
        <f>J6</f>
        <v>0</v>
      </c>
      <c r="G102" s="7">
        <f t="shared" si="14"/>
        <v>0</v>
      </c>
      <c r="H102" s="7" t="str">
        <f t="shared" si="15"/>
        <v/>
      </c>
      <c r="I102" s="7" t="str">
        <f t="shared" si="16"/>
        <v/>
      </c>
      <c r="K102" s="6"/>
      <c r="O102" s="6"/>
    </row>
    <row r="103" spans="2:16" x14ac:dyDescent="0.25">
      <c r="B103" s="7" t="s">
        <v>50</v>
      </c>
      <c r="E103" s="7">
        <f>VLOOKUP(B103,'Input Processing'!$G$3:$J$20,4,FALSE)</f>
        <v>0</v>
      </c>
      <c r="F103" s="7">
        <f>J9</f>
        <v>0</v>
      </c>
      <c r="G103" s="7">
        <f t="shared" si="14"/>
        <v>0</v>
      </c>
      <c r="H103" s="7" t="str">
        <f t="shared" si="15"/>
        <v/>
      </c>
      <c r="I103" s="7" t="str">
        <f t="shared" si="16"/>
        <v/>
      </c>
    </row>
    <row r="104" spans="2:16" x14ac:dyDescent="0.25">
      <c r="B104" s="7" t="s">
        <v>51</v>
      </c>
      <c r="E104" s="7">
        <f>VLOOKUP(B104,'Input Processing'!$G$3:$J$20,4,FALSE)</f>
        <v>0</v>
      </c>
      <c r="F104" s="7">
        <f>J8</f>
        <v>0</v>
      </c>
      <c r="G104" s="7">
        <f t="shared" si="14"/>
        <v>0</v>
      </c>
      <c r="H104" s="7" t="str">
        <f t="shared" si="15"/>
        <v/>
      </c>
      <c r="I104" s="7" t="str">
        <f t="shared" si="16"/>
        <v/>
      </c>
    </row>
    <row r="105" spans="2:16" x14ac:dyDescent="0.25">
      <c r="B105" s="7" t="s">
        <v>52</v>
      </c>
      <c r="E105" s="7">
        <f>VLOOKUP(B105,'Input Processing'!$G$3:$J$20,4,FALSE)</f>
        <v>0</v>
      </c>
      <c r="F105" s="7">
        <f>J7</f>
        <v>0</v>
      </c>
      <c r="G105" s="7">
        <f t="shared" si="14"/>
        <v>0</v>
      </c>
      <c r="H105" s="7" t="str">
        <f t="shared" si="15"/>
        <v/>
      </c>
      <c r="I105" s="7" t="str">
        <f t="shared" si="16"/>
        <v/>
      </c>
    </row>
    <row r="106" spans="2:16" x14ac:dyDescent="0.25">
      <c r="H106" s="7" t="str">
        <f>INDEX(H88:H105,MATCH(TRUE,INDEX((H88:H105&lt;&gt;""),0),0))</f>
        <v>FloralSuper Premium</v>
      </c>
      <c r="I106" s="7" t="e">
        <f>INDEX(I88:I105,MATCH(TRUE,INDEX((I88:I105&lt;&gt;""),0),0))</f>
        <v>#N/A</v>
      </c>
    </row>
    <row r="108" spans="2:16" s="9" customFormat="1" x14ac:dyDescent="0.25"/>
    <row r="110" spans="2:16" x14ac:dyDescent="0.25">
      <c r="H110" s="7" t="str">
        <f t="shared" ref="H110:H126" si="19">IF(H88=$H$106,H111,IF(H88="",H111,H88))</f>
        <v>JuniperSuper Premium</v>
      </c>
      <c r="I110" s="7" t="e">
        <f>IF(I88=$I$106,I111,IF(I88="",I111,I88))</f>
        <v>#N/A</v>
      </c>
    </row>
    <row r="111" spans="2:16" x14ac:dyDescent="0.25">
      <c r="H111" s="7" t="str">
        <f t="shared" si="19"/>
        <v>JuniperSuper Premium</v>
      </c>
      <c r="I111" s="7" t="e">
        <f t="shared" ref="I111:I127" si="20">IF(I89=$I$106,I112,IF(I89="",I112,I89))</f>
        <v>#N/A</v>
      </c>
    </row>
    <row r="112" spans="2:16" x14ac:dyDescent="0.25">
      <c r="H112" s="7" t="str">
        <f t="shared" si="19"/>
        <v>FruitPremium</v>
      </c>
      <c r="I112" s="7" t="e">
        <f t="shared" si="20"/>
        <v>#N/A</v>
      </c>
    </row>
    <row r="113" spans="8:9" x14ac:dyDescent="0.25">
      <c r="H113" s="7" t="str">
        <f t="shared" si="19"/>
        <v>JuniperStandard</v>
      </c>
      <c r="I113" s="7" t="e">
        <f t="shared" si="20"/>
        <v>#N/A</v>
      </c>
    </row>
    <row r="114" spans="8:9" x14ac:dyDescent="0.25">
      <c r="H114" s="7" t="str">
        <f t="shared" si="19"/>
        <v>JuniperPremium</v>
      </c>
      <c r="I114" s="7" t="e">
        <f t="shared" si="20"/>
        <v>#N/A</v>
      </c>
    </row>
    <row r="115" spans="8:9" x14ac:dyDescent="0.25">
      <c r="H115" s="7" t="str">
        <f t="shared" si="19"/>
        <v>JuniperPremium</v>
      </c>
      <c r="I115" s="7" t="e">
        <f t="shared" si="20"/>
        <v>#N/A</v>
      </c>
    </row>
    <row r="116" spans="8:9" x14ac:dyDescent="0.25">
      <c r="H116" s="7" t="str">
        <f t="shared" si="19"/>
        <v>CitrusPremium</v>
      </c>
      <c r="I116" s="7" t="e">
        <f t="shared" si="20"/>
        <v>#N/A</v>
      </c>
    </row>
    <row r="117" spans="8:9" x14ac:dyDescent="0.25">
      <c r="H117" s="7" t="str">
        <f t="shared" si="19"/>
        <v>FruitSuper Premium</v>
      </c>
      <c r="I117" s="7" t="e">
        <f t="shared" si="20"/>
        <v>#N/A</v>
      </c>
    </row>
    <row r="118" spans="8:9" x14ac:dyDescent="0.25">
      <c r="H118" s="7" t="str">
        <f t="shared" si="19"/>
        <v>CitrusSuper Premium</v>
      </c>
      <c r="I118" s="7" t="e">
        <f t="shared" si="20"/>
        <v>#N/A</v>
      </c>
    </row>
    <row r="119" spans="8:9" x14ac:dyDescent="0.25">
      <c r="H119" s="7" t="str">
        <f t="shared" si="19"/>
        <v>HerbaceousSuper Premium</v>
      </c>
      <c r="I119" s="7" t="e">
        <f t="shared" si="20"/>
        <v>#N/A</v>
      </c>
    </row>
    <row r="120" spans="8:9" x14ac:dyDescent="0.25">
      <c r="H120" s="7" t="str">
        <f t="shared" si="19"/>
        <v>HerbaceousSuper Premium</v>
      </c>
      <c r="I120" s="7" t="e">
        <f t="shared" si="20"/>
        <v>#N/A</v>
      </c>
    </row>
    <row r="121" spans="8:9" x14ac:dyDescent="0.25">
      <c r="H121" s="7" t="str">
        <f t="shared" si="19"/>
        <v>FruitStandard</v>
      </c>
      <c r="I121" s="7" t="e">
        <f t="shared" si="20"/>
        <v>#N/A</v>
      </c>
    </row>
    <row r="122" spans="8:9" x14ac:dyDescent="0.25">
      <c r="H122" s="7">
        <f t="shared" si="19"/>
        <v>0</v>
      </c>
      <c r="I122" s="7" t="e">
        <f t="shared" si="20"/>
        <v>#N/A</v>
      </c>
    </row>
    <row r="123" spans="8:9" x14ac:dyDescent="0.25">
      <c r="H123" s="7">
        <f t="shared" si="19"/>
        <v>0</v>
      </c>
      <c r="I123" s="7" t="e">
        <f t="shared" si="20"/>
        <v>#N/A</v>
      </c>
    </row>
    <row r="124" spans="8:9" x14ac:dyDescent="0.25">
      <c r="H124" s="7">
        <f t="shared" si="19"/>
        <v>0</v>
      </c>
      <c r="I124" s="7" t="e">
        <f t="shared" si="20"/>
        <v>#N/A</v>
      </c>
    </row>
    <row r="125" spans="8:9" x14ac:dyDescent="0.25">
      <c r="H125" s="7">
        <f t="shared" si="19"/>
        <v>0</v>
      </c>
      <c r="I125" s="7" t="e">
        <f t="shared" si="20"/>
        <v>#N/A</v>
      </c>
    </row>
    <row r="126" spans="8:9" x14ac:dyDescent="0.25">
      <c r="H126" s="7">
        <f t="shared" si="19"/>
        <v>0</v>
      </c>
      <c r="I126" s="7" t="e">
        <f t="shared" si="20"/>
        <v>#N/A</v>
      </c>
    </row>
    <row r="127" spans="8:9" x14ac:dyDescent="0.25">
      <c r="H127" s="7">
        <f>IF(H105=$H$106,H128,IF(H105="",H128,H105))</f>
        <v>0</v>
      </c>
      <c r="I127" s="7" t="e">
        <f t="shared" si="20"/>
        <v>#N/A</v>
      </c>
    </row>
  </sheetData>
  <mergeCells count="1">
    <mergeCell ref="F5:F10"/>
  </mergeCells>
  <pageMargins left="0.7" right="0.7" top="0.75" bottom="0.75" header="0.3" footer="0.3"/>
  <pageSetup paperSize="2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Range Check</vt:lpstr>
      <vt:lpstr>Range Recommendation</vt:lpstr>
      <vt:lpstr>Product Overview</vt:lpstr>
      <vt:lpstr>Input Processing</vt:lpstr>
      <vt:lpstr>Lookup Table (Text to be added)</vt:lpstr>
      <vt:lpstr>Product Reference</vt:lpstr>
      <vt:lpstr>Recommendations</vt:lpstr>
      <vt:lpstr>Mainstream Wet-Led</vt:lpstr>
      <vt:lpstr>Premium Wet-Led</vt:lpstr>
      <vt:lpstr>PFL Flexible Range Calculation</vt:lpstr>
      <vt:lpstr>MWL Flexible Range Calculation</vt:lpstr>
      <vt:lpstr>PWL Flexible Range Calculation</vt:lpstr>
      <vt:lpstr>Mainstream Food-Led</vt:lpstr>
      <vt:lpstr>Premium Food-Led</vt:lpstr>
      <vt:lpstr>MFL Flexible Range Calculation</vt:lpstr>
      <vt:lpstr>'Product Overview'!Print_Area</vt:lpstr>
      <vt:lpstr>'Range Recommendation'!Print_Area</vt:lpstr>
    </vt:vector>
  </TitlesOfParts>
  <Company>Matthew Clark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Siddall</dc:creator>
  <cp:lastModifiedBy>Luke Siddall</cp:lastModifiedBy>
  <cp:lastPrinted>2019-09-09T15:52:32Z</cp:lastPrinted>
  <dcterms:created xsi:type="dcterms:W3CDTF">2019-08-09T13:00:03Z</dcterms:created>
  <dcterms:modified xsi:type="dcterms:W3CDTF">2019-09-12T15:15:07Z</dcterms:modified>
</cp:coreProperties>
</file>